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alfe.vinhas\Desktop\Financeiro\Reprogramação 2024\"/>
    </mc:Choice>
  </mc:AlternateContent>
  <bookViews>
    <workbookView xWindow="-120" yWindow="-120" windowWidth="38640" windowHeight="15840" tabRatio="884" firstSheet="4" activeTab="9"/>
  </bookViews>
  <sheets>
    <sheet name="Check List" sheetId="43" state="hidden" r:id="rId1"/>
    <sheet name="Orientações Iniciais" sheetId="42" state="hidden" r:id="rId2"/>
    <sheet name="Diretrizes - Resumo" sheetId="40" state="hidden" r:id="rId3"/>
    <sheet name="Matriz de Obj. Estrat." sheetId="41" state="hidden" r:id="rId4"/>
    <sheet name="Mapa Estratégico e ODS" sheetId="36" r:id="rId5"/>
    <sheet name="Indicadores e Metas" sheetId="39" r:id="rId6"/>
    <sheet name="Quadro Geral" sheetId="15" r:id="rId7"/>
    <sheet name="Anexo 1. Fontes e Aplicações" sheetId="8" r:id="rId8"/>
    <sheet name="Anexo 2. Limites Estratégicos" sheetId="23" r:id="rId9"/>
    <sheet name="Anexo 3. Elemento de Despesas" sheetId="18" r:id="rId10"/>
    <sheet name="Validação de dados" sheetId="31" state="hidden" r:id="rId11"/>
  </sheets>
  <externalReferences>
    <externalReference r:id="rId12"/>
  </externalReferences>
  <definedNames>
    <definedName name="__xlfn_IFERROR">#N/A</definedName>
    <definedName name="_xlnm._FilterDatabase" localSheetId="9" hidden="1">'Anexo 3. Elemento de Despesas'!$A$4:$W$38</definedName>
    <definedName name="_xlnm._FilterDatabase" localSheetId="2" hidden="1">'Diretrizes - Resumo'!$A$3:$T$30</definedName>
    <definedName name="_xlnm._FilterDatabase" localSheetId="5" hidden="1">'Indicadores e Metas'!$A$28:$P$100</definedName>
    <definedName name="_xlnm._FilterDatabase" localSheetId="6" hidden="1">'Quadro Geral'!$A$6:$O$6</definedName>
    <definedName name="A" localSheetId="2">#REF!</definedName>
    <definedName name="A" localSheetId="5">#REF!</definedName>
    <definedName name="A" localSheetId="3">#REF!</definedName>
    <definedName name="A" localSheetId="1">#REF!</definedName>
    <definedName name="A" localSheetId="6">#REF!</definedName>
    <definedName name="A">#REF!</definedName>
    <definedName name="Anexo" localSheetId="5">#REF!</definedName>
    <definedName name="Anexo" localSheetId="3">#REF!</definedName>
    <definedName name="Anexo" localSheetId="1">#REF!</definedName>
    <definedName name="Anexo">#REF!</definedName>
    <definedName name="Anexo_1.4.4" localSheetId="5">#REF!</definedName>
    <definedName name="Anexo_1.4.4" localSheetId="3">#REF!</definedName>
    <definedName name="Anexo_1.4.4" localSheetId="1">#REF!</definedName>
    <definedName name="Anexo_1.4.4">#REF!</definedName>
    <definedName name="ar">#N/A</definedName>
    <definedName name="_xlnm.Print_Area" localSheetId="7">'Anexo 1. Fontes e Aplicações'!$A$1:$O$56</definedName>
    <definedName name="_xlnm.Print_Area" localSheetId="8">'Anexo 2. Limites Estratégicos'!$A$1:$F$81</definedName>
    <definedName name="_xlnm.Print_Area" localSheetId="0">'Check List'!$A$1:$E$37</definedName>
    <definedName name="_xlnm.Print_Area" localSheetId="5">'Indicadores e Metas'!$A$1:$F$105</definedName>
    <definedName name="_xlnm.Print_Area" localSheetId="4">'Mapa Estratégico e ODS'!$A$1:$I$2</definedName>
    <definedName name="_xlnm.Print_Area" localSheetId="3">'Matriz de Obj. Estrat.'!$A$1:$K$19</definedName>
    <definedName name="_xlnm.Print_Area" localSheetId="6">'Quadro Geral'!$A$1:$O$41</definedName>
    <definedName name="asas" localSheetId="5">#REF!</definedName>
    <definedName name="asas" localSheetId="3">#REF!</definedName>
    <definedName name="asas" localSheetId="1">#REF!</definedName>
    <definedName name="asas">#REF!</definedName>
    <definedName name="ass" localSheetId="5">#REF!</definedName>
    <definedName name="ass" localSheetId="3">#REF!</definedName>
    <definedName name="ass" localSheetId="1">#REF!</definedName>
    <definedName name="ass">#REF!</definedName>
    <definedName name="_xlnm.Database" localSheetId="2">#REF!</definedName>
    <definedName name="_xlnm.Database" localSheetId="5">#REF!</definedName>
    <definedName name="_xlnm.Database" localSheetId="3">#REF!</definedName>
    <definedName name="_xlnm.Database" localSheetId="1">#REF!</definedName>
    <definedName name="_xlnm.Database" localSheetId="6">#REF!</definedName>
    <definedName name="_xlnm.Database">#REF!</definedName>
    <definedName name="banco_de_dados_sym" localSheetId="2">#REF!</definedName>
    <definedName name="banco_de_dados_sym" localSheetId="5">#REF!</definedName>
    <definedName name="banco_de_dados_sym" localSheetId="3">#REF!</definedName>
    <definedName name="banco_de_dados_sym" localSheetId="1">#REF!</definedName>
    <definedName name="banco_de_dados_sym">#REF!</definedName>
    <definedName name="Copia" localSheetId="5">#REF!</definedName>
    <definedName name="Copia" localSheetId="3">#REF!</definedName>
    <definedName name="Copia" localSheetId="1">#REF!</definedName>
    <definedName name="Copia">#REF!</definedName>
    <definedName name="copia2" localSheetId="5">#REF!</definedName>
    <definedName name="copia2" localSheetId="3">#REF!</definedName>
    <definedName name="copia2" localSheetId="1">#REF!</definedName>
    <definedName name="copia2">#REF!</definedName>
    <definedName name="_xlnm.Criteria" localSheetId="5">#REF!</definedName>
    <definedName name="_xlnm.Criteria" localSheetId="3">#REF!</definedName>
    <definedName name="_xlnm.Criteria" localSheetId="1">#REF!</definedName>
    <definedName name="_xlnm.Criteria">#REF!</definedName>
    <definedName name="dados" localSheetId="5">#REF!</definedName>
    <definedName name="dados" localSheetId="3">#REF!</definedName>
    <definedName name="dados" localSheetId="1">#REF!</definedName>
    <definedName name="dados">#REF!</definedName>
    <definedName name="Database" localSheetId="3">#REF!</definedName>
    <definedName name="Database" localSheetId="1">#REF!</definedName>
    <definedName name="Database">#REF!</definedName>
    <definedName name="DEZEMBRO" localSheetId="3">#REF!</definedName>
    <definedName name="DEZEMBRO" localSheetId="1">#REF!</definedName>
    <definedName name="DEZEMBRO">#REF!</definedName>
    <definedName name="huala" localSheetId="5">#REF!</definedName>
    <definedName name="huala" localSheetId="3">#REF!</definedName>
    <definedName name="huala" localSheetId="1">#REF!</definedName>
    <definedName name="huala">#REF!</definedName>
    <definedName name="kk" localSheetId="5">#REF!</definedName>
    <definedName name="kk" localSheetId="3">#REF!</definedName>
    <definedName name="kk" localSheetId="1">#REF!</definedName>
    <definedName name="kk">#REF!</definedName>
    <definedName name="Percentual5" localSheetId="2">#REF!</definedName>
    <definedName name="Percentual5" localSheetId="1">#REF!</definedName>
    <definedName name="Percentual5">#REF!</definedName>
    <definedName name="PJ2anos" localSheetId="2">#REF!,#REF!</definedName>
    <definedName name="PJ2anos" localSheetId="1">#REF!,#REF!</definedName>
    <definedName name="PJ2anos">#REF!,#REF!</definedName>
    <definedName name="PREs">#N/A</definedName>
    <definedName name="Presid">#N/A</definedName>
    <definedName name="X" localSheetId="3">#REF!</definedName>
    <definedName name="X" localSheetId="1">#REF!</definedName>
    <definedName name="X">#REF!</definedName>
    <definedName name="XFE1048575" localSheetId="2">#REF!</definedName>
    <definedName name="XFE1048575" localSheetId="5">#REF!</definedName>
    <definedName name="XFE1048575" localSheetId="3">#REF!</definedName>
    <definedName name="XFE1048575" localSheetId="1">#REF!</definedName>
    <definedName name="XFE1048575">#REF!</definedName>
    <definedName name="XFe1048576" localSheetId="2">#REF!</definedName>
    <definedName name="XFe1048576" localSheetId="5">#REF!</definedName>
    <definedName name="XFe1048576" localSheetId="3">#REF!</definedName>
    <definedName name="XFe1048576" localSheetId="1">#REF!</definedName>
    <definedName name="XFe1048576">#REF!</definedName>
  </definedNames>
  <calcPr calcId="191029"/>
  <webPublishing vml="1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8" l="1"/>
  <c r="H36" i="18"/>
  <c r="I36" i="18"/>
  <c r="J36" i="18"/>
  <c r="K36" i="18"/>
  <c r="M36" i="18"/>
  <c r="N36" i="18"/>
  <c r="R36" i="18"/>
  <c r="S36" i="18"/>
  <c r="U36" i="18"/>
  <c r="D32" i="8"/>
  <c r="E32" i="8"/>
  <c r="C32" i="8"/>
  <c r="E31" i="8"/>
  <c r="D31" i="8"/>
  <c r="E30" i="8"/>
  <c r="D30" i="8"/>
  <c r="C31" i="8"/>
  <c r="C30" i="8"/>
  <c r="N37" i="15"/>
  <c r="N36" i="15"/>
  <c r="AI15" i="40" l="1"/>
  <c r="M33" i="15"/>
  <c r="M28" i="15"/>
  <c r="M27" i="15"/>
  <c r="D33" i="23" l="1"/>
  <c r="G23" i="8" l="1"/>
  <c r="H23" i="8" s="1"/>
  <c r="G20" i="8"/>
  <c r="H20" i="8" s="1"/>
  <c r="G14" i="8"/>
  <c r="H14" i="8" s="1"/>
  <c r="F32" i="8"/>
  <c r="F30" i="8"/>
  <c r="F23" i="8"/>
  <c r="F22" i="8"/>
  <c r="G22" i="8" s="1"/>
  <c r="H22" i="8" s="1"/>
  <c r="F20" i="8"/>
  <c r="F19" i="8"/>
  <c r="F18" i="8"/>
  <c r="F16" i="8"/>
  <c r="G16" i="8" s="1"/>
  <c r="H16" i="8" s="1"/>
  <c r="F14" i="8"/>
  <c r="F11" i="8"/>
  <c r="G11" i="8" s="1"/>
  <c r="H11" i="8" s="1"/>
  <c r="G30" i="8" l="1"/>
  <c r="H30" i="8" s="1"/>
  <c r="G18" i="8"/>
  <c r="H18" i="8" s="1"/>
  <c r="G32" i="8"/>
  <c r="H32" i="8" s="1"/>
  <c r="G19" i="8"/>
  <c r="H19" i="8" s="1"/>
  <c r="P10" i="18"/>
  <c r="K11" i="15"/>
  <c r="P34" i="18"/>
  <c r="K35" i="15"/>
  <c r="L35" i="15" s="1"/>
  <c r="K16" i="15"/>
  <c r="K15" i="15"/>
  <c r="K14" i="15"/>
  <c r="K13" i="15"/>
  <c r="Q20" i="18" l="1"/>
  <c r="Q36" i="18" s="1"/>
  <c r="K19" i="15"/>
  <c r="P7" i="18" l="1"/>
  <c r="P36" i="18" s="1"/>
  <c r="K7" i="15"/>
  <c r="K34" i="15" l="1"/>
  <c r="K31" i="15"/>
  <c r="K30" i="15"/>
  <c r="K29" i="15"/>
  <c r="K26" i="15"/>
  <c r="K23" i="15"/>
  <c r="K22" i="15"/>
  <c r="K21" i="15"/>
  <c r="K18" i="15"/>
  <c r="K17" i="15"/>
  <c r="K12" i="15"/>
  <c r="K10" i="15"/>
  <c r="K9" i="15"/>
  <c r="F31" i="8"/>
  <c r="G31" i="8" s="1"/>
  <c r="H31" i="8" s="1"/>
  <c r="D12" i="8"/>
  <c r="F12" i="8" s="1"/>
  <c r="D17" i="8"/>
  <c r="F17" i="8" s="1"/>
  <c r="D15" i="8"/>
  <c r="F15" i="8" s="1"/>
  <c r="G17" i="8" l="1"/>
  <c r="H17" i="8" s="1"/>
  <c r="G12" i="8"/>
  <c r="H12" i="8" s="1"/>
  <c r="G15" i="8"/>
  <c r="H15" i="8" s="1"/>
  <c r="L18" i="18"/>
  <c r="L36" i="18" s="1"/>
  <c r="O17" i="18" l="1"/>
  <c r="O16" i="18"/>
  <c r="O15" i="18"/>
  <c r="O14" i="18"/>
  <c r="O13" i="18"/>
  <c r="O36" i="18" s="1"/>
  <c r="D37" i="23"/>
  <c r="AL7" i="40" l="1"/>
  <c r="D5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10" i="8" l="1"/>
  <c r="E10" i="8"/>
  <c r="D13" i="8"/>
  <c r="E13" i="8"/>
  <c r="D21" i="8"/>
  <c r="E21" i="8"/>
  <c r="F13" i="8" l="1"/>
  <c r="F10" i="8"/>
  <c r="F21" i="8"/>
  <c r="E9" i="8"/>
  <c r="E8" i="8" s="1"/>
  <c r="E7" i="8" s="1"/>
  <c r="E24" i="8" s="1"/>
  <c r="D9" i="8"/>
  <c r="D4" i="23"/>
  <c r="D29" i="8"/>
  <c r="D28" i="8"/>
  <c r="D27" i="8"/>
  <c r="L8" i="15"/>
  <c r="N8" i="15" s="1"/>
  <c r="O8" i="15" s="1"/>
  <c r="L9" i="15"/>
  <c r="L10" i="15"/>
  <c r="N10" i="15" s="1"/>
  <c r="O10" i="15" s="1"/>
  <c r="L11" i="15"/>
  <c r="N11" i="15" s="1"/>
  <c r="O11" i="15" s="1"/>
  <c r="L12" i="15"/>
  <c r="N12" i="15" s="1"/>
  <c r="O12" i="15" s="1"/>
  <c r="L13" i="15"/>
  <c r="N13" i="15" s="1"/>
  <c r="O13" i="15" s="1"/>
  <c r="L14" i="15"/>
  <c r="N14" i="15" s="1"/>
  <c r="O14" i="15" s="1"/>
  <c r="L15" i="15"/>
  <c r="N15" i="15" s="1"/>
  <c r="O15" i="15" s="1"/>
  <c r="L16" i="15"/>
  <c r="N16" i="15" s="1"/>
  <c r="O16" i="15" s="1"/>
  <c r="L17" i="15"/>
  <c r="L18" i="15"/>
  <c r="N18" i="15" s="1"/>
  <c r="O18" i="15" s="1"/>
  <c r="L19" i="15"/>
  <c r="L20" i="15"/>
  <c r="L21" i="15"/>
  <c r="L22" i="15"/>
  <c r="L23" i="15"/>
  <c r="N23" i="15" s="1"/>
  <c r="O23" i="15" s="1"/>
  <c r="L24" i="15"/>
  <c r="N24" i="15" s="1"/>
  <c r="O24" i="15" s="1"/>
  <c r="L25" i="15"/>
  <c r="L26" i="15"/>
  <c r="N26" i="15" s="1"/>
  <c r="O26" i="15" s="1"/>
  <c r="L27" i="15"/>
  <c r="N27" i="15" s="1"/>
  <c r="O27" i="15" s="1"/>
  <c r="L28" i="15"/>
  <c r="N28" i="15" s="1"/>
  <c r="O28" i="15" s="1"/>
  <c r="L29" i="15"/>
  <c r="L30" i="15"/>
  <c r="L31" i="15"/>
  <c r="N31" i="15" s="1"/>
  <c r="O31" i="15" s="1"/>
  <c r="L32" i="15"/>
  <c r="N32" i="15" s="1"/>
  <c r="O32" i="15" s="1"/>
  <c r="L33" i="15"/>
  <c r="N33" i="15" s="1"/>
  <c r="O33" i="15" s="1"/>
  <c r="L34" i="15"/>
  <c r="N34" i="15" s="1"/>
  <c r="O34" i="15" s="1"/>
  <c r="N35" i="15"/>
  <c r="O35" i="15" s="1"/>
  <c r="L36" i="15"/>
  <c r="O36" i="15" s="1"/>
  <c r="L7" i="15"/>
  <c r="E29" i="8"/>
  <c r="E28" i="8"/>
  <c r="E27" i="8"/>
  <c r="J37" i="15"/>
  <c r="K37" i="15"/>
  <c r="M37" i="15"/>
  <c r="N20" i="15"/>
  <c r="O20" i="15" s="1"/>
  <c r="N17" i="15"/>
  <c r="O17" i="15" s="1"/>
  <c r="N9" i="15"/>
  <c r="O9" i="15" s="1"/>
  <c r="D4" i="40"/>
  <c r="G4" i="40"/>
  <c r="D8" i="8" l="1"/>
  <c r="F8" i="8" s="1"/>
  <c r="F9" i="8"/>
  <c r="E35" i="23"/>
  <c r="N30" i="15"/>
  <c r="O30" i="15" s="1"/>
  <c r="N22" i="15"/>
  <c r="O22" i="15" s="1"/>
  <c r="N29" i="15"/>
  <c r="O29" i="15" s="1"/>
  <c r="N19" i="15"/>
  <c r="O19" i="15" s="1"/>
  <c r="N21" i="15"/>
  <c r="O21" i="15" s="1"/>
  <c r="N25" i="15"/>
  <c r="O25" i="15" s="1"/>
  <c r="F27" i="8"/>
  <c r="F28" i="8"/>
  <c r="F29" i="8"/>
  <c r="L37" i="15"/>
  <c r="N7" i="15"/>
  <c r="O7" i="15" s="1"/>
  <c r="E26" i="8"/>
  <c r="E33" i="8" s="1"/>
  <c r="E34" i="8" s="1"/>
  <c r="D26" i="8"/>
  <c r="D7" i="8" l="1"/>
  <c r="F26" i="8"/>
  <c r="E35" i="8"/>
  <c r="D33" i="8"/>
  <c r="F35" i="23"/>
  <c r="F33" i="23"/>
  <c r="F31" i="23"/>
  <c r="F25" i="23"/>
  <c r="F6" i="23"/>
  <c r="C3" i="41"/>
  <c r="C4" i="41"/>
  <c r="T7" i="18"/>
  <c r="V7" i="18" s="1"/>
  <c r="T8" i="18"/>
  <c r="V8" i="18" s="1"/>
  <c r="T9" i="18"/>
  <c r="V9" i="18" s="1"/>
  <c r="T10" i="18"/>
  <c r="V10" i="18" s="1"/>
  <c r="T11" i="18"/>
  <c r="V11" i="18" s="1"/>
  <c r="T12" i="18"/>
  <c r="V12" i="18" s="1"/>
  <c r="T13" i="18"/>
  <c r="V13" i="18" s="1"/>
  <c r="T14" i="18"/>
  <c r="V14" i="18" s="1"/>
  <c r="T15" i="18"/>
  <c r="V15" i="18" s="1"/>
  <c r="T16" i="18"/>
  <c r="V16" i="18" s="1"/>
  <c r="T17" i="18"/>
  <c r="V17" i="18" s="1"/>
  <c r="T18" i="18"/>
  <c r="V18" i="18" s="1"/>
  <c r="T19" i="18"/>
  <c r="V19" i="18" s="1"/>
  <c r="T20" i="18"/>
  <c r="V20" i="18" s="1"/>
  <c r="T21" i="18"/>
  <c r="V21" i="18" s="1"/>
  <c r="T22" i="18"/>
  <c r="V22" i="18" s="1"/>
  <c r="T23" i="18"/>
  <c r="V23" i="18" s="1"/>
  <c r="T24" i="18"/>
  <c r="V24" i="18" s="1"/>
  <c r="T25" i="18"/>
  <c r="V25" i="18" s="1"/>
  <c r="T26" i="18"/>
  <c r="V26" i="18" s="1"/>
  <c r="T27" i="18"/>
  <c r="V27" i="18" s="1"/>
  <c r="T28" i="18"/>
  <c r="V28" i="18" s="1"/>
  <c r="T29" i="18"/>
  <c r="V29" i="18" s="1"/>
  <c r="T30" i="18"/>
  <c r="V30" i="18" s="1"/>
  <c r="T31" i="18"/>
  <c r="V31" i="18" s="1"/>
  <c r="T32" i="18"/>
  <c r="V32" i="18" s="1"/>
  <c r="T33" i="18"/>
  <c r="V33" i="18" s="1"/>
  <c r="T34" i="18"/>
  <c r="V34" i="18" s="1"/>
  <c r="T35" i="18"/>
  <c r="V35" i="18" s="1"/>
  <c r="A7" i="18"/>
  <c r="B7" i="18"/>
  <c r="C7" i="18"/>
  <c r="D7" i="18"/>
  <c r="A8" i="18"/>
  <c r="B8" i="18"/>
  <c r="C8" i="18"/>
  <c r="D8" i="18"/>
  <c r="A9" i="18"/>
  <c r="B9" i="18"/>
  <c r="C9" i="18"/>
  <c r="D9" i="18"/>
  <c r="A10" i="18"/>
  <c r="B10" i="18"/>
  <c r="C10" i="18"/>
  <c r="D10" i="18"/>
  <c r="A11" i="18"/>
  <c r="B11" i="18"/>
  <c r="C11" i="18"/>
  <c r="D11" i="18"/>
  <c r="A12" i="18"/>
  <c r="B12" i="18"/>
  <c r="C12" i="18"/>
  <c r="D12" i="18"/>
  <c r="A13" i="18"/>
  <c r="B13" i="18"/>
  <c r="C13" i="18"/>
  <c r="D13" i="18"/>
  <c r="A14" i="18"/>
  <c r="B14" i="18"/>
  <c r="C14" i="18"/>
  <c r="D14" i="18"/>
  <c r="A15" i="18"/>
  <c r="B15" i="18"/>
  <c r="C15" i="18"/>
  <c r="D15" i="18"/>
  <c r="A16" i="18"/>
  <c r="B16" i="18"/>
  <c r="C16" i="18"/>
  <c r="D16" i="18"/>
  <c r="A17" i="18"/>
  <c r="B17" i="18"/>
  <c r="C17" i="18"/>
  <c r="D17" i="18"/>
  <c r="A18" i="18"/>
  <c r="B18" i="18"/>
  <c r="C18" i="18"/>
  <c r="D18" i="18"/>
  <c r="A19" i="18"/>
  <c r="B19" i="18"/>
  <c r="C19" i="18"/>
  <c r="D19" i="18"/>
  <c r="A20" i="18"/>
  <c r="B20" i="18"/>
  <c r="C20" i="18"/>
  <c r="D20" i="18"/>
  <c r="A21" i="18"/>
  <c r="B21" i="18"/>
  <c r="C21" i="18"/>
  <c r="D21" i="18"/>
  <c r="A22" i="18"/>
  <c r="B22" i="18"/>
  <c r="C22" i="18"/>
  <c r="D22" i="18"/>
  <c r="A23" i="18"/>
  <c r="B23" i="18"/>
  <c r="C23" i="18"/>
  <c r="D23" i="18"/>
  <c r="A24" i="18"/>
  <c r="B24" i="18"/>
  <c r="C24" i="18"/>
  <c r="D24" i="18"/>
  <c r="A25" i="18"/>
  <c r="B25" i="18"/>
  <c r="C25" i="18"/>
  <c r="D25" i="18"/>
  <c r="A26" i="18"/>
  <c r="B26" i="18"/>
  <c r="C26" i="18"/>
  <c r="D26" i="18"/>
  <c r="A27" i="18"/>
  <c r="B27" i="18"/>
  <c r="C27" i="18"/>
  <c r="D27" i="18"/>
  <c r="A28" i="18"/>
  <c r="B28" i="18"/>
  <c r="C28" i="18"/>
  <c r="D28" i="18"/>
  <c r="A29" i="18"/>
  <c r="B29" i="18"/>
  <c r="C29" i="18"/>
  <c r="D29" i="18"/>
  <c r="A30" i="18"/>
  <c r="B30" i="18"/>
  <c r="C30" i="18"/>
  <c r="D30" i="18"/>
  <c r="A31" i="18"/>
  <c r="B31" i="18"/>
  <c r="C31" i="18"/>
  <c r="D31" i="18"/>
  <c r="A32" i="18"/>
  <c r="B32" i="18"/>
  <c r="C32" i="18"/>
  <c r="D32" i="18"/>
  <c r="A33" i="18"/>
  <c r="B33" i="18"/>
  <c r="C33" i="18"/>
  <c r="D33" i="18"/>
  <c r="A34" i="18"/>
  <c r="B34" i="18"/>
  <c r="C34" i="18"/>
  <c r="D34" i="18"/>
  <c r="A35" i="18"/>
  <c r="B35" i="18"/>
  <c r="C35" i="18"/>
  <c r="D35" i="18"/>
  <c r="F10" i="39"/>
  <c r="E10" i="39"/>
  <c r="E37" i="23"/>
  <c r="AI21" i="40"/>
  <c r="F7" i="8" l="1"/>
  <c r="D24" i="8"/>
  <c r="D35" i="8"/>
  <c r="F33" i="8"/>
  <c r="E9" i="23"/>
  <c r="D9" i="23"/>
  <c r="E4" i="23"/>
  <c r="E22" i="23"/>
  <c r="D22" i="23"/>
  <c r="D34" i="8" l="1"/>
  <c r="F24" i="8"/>
  <c r="I30" i="8"/>
  <c r="I33" i="8"/>
  <c r="I32" i="8"/>
  <c r="I31" i="8"/>
  <c r="I29" i="8"/>
  <c r="I28" i="8"/>
  <c r="I27" i="8"/>
  <c r="I37" i="15"/>
  <c r="T6" i="18"/>
  <c r="T36" i="18" s="1"/>
  <c r="F34" i="8" l="1"/>
  <c r="I14" i="8"/>
  <c r="I13" i="8"/>
  <c r="I22" i="8"/>
  <c r="I8" i="8"/>
  <c r="I15" i="8"/>
  <c r="I16" i="8"/>
  <c r="I17" i="8"/>
  <c r="I9" i="8"/>
  <c r="I12" i="8"/>
  <c r="I23" i="8"/>
  <c r="I19" i="8"/>
  <c r="I21" i="8"/>
  <c r="I10" i="8"/>
  <c r="I11" i="8"/>
  <c r="I20" i="8"/>
  <c r="I18" i="8"/>
  <c r="O37" i="15"/>
  <c r="V6" i="18"/>
  <c r="V36" i="18" s="1"/>
  <c r="B6" i="18"/>
  <c r="B4" i="18"/>
  <c r="A1" i="23"/>
  <c r="A1" i="8"/>
  <c r="A1" i="18"/>
  <c r="C27" i="8"/>
  <c r="E40" i="8"/>
  <c r="C29" i="8"/>
  <c r="C28" i="8"/>
  <c r="G37" i="18" l="1"/>
  <c r="V37" i="18"/>
  <c r="M37" i="18"/>
  <c r="N37" i="18"/>
  <c r="U37" i="18"/>
  <c r="R37" i="18"/>
  <c r="S37" i="18"/>
  <c r="K37" i="18"/>
  <c r="J37" i="18"/>
  <c r="I37" i="18"/>
  <c r="H37" i="18"/>
  <c r="Q37" i="18"/>
  <c r="P37" i="18"/>
  <c r="L37" i="18"/>
  <c r="O37" i="18"/>
  <c r="T37" i="18"/>
  <c r="G28" i="8"/>
  <c r="H28" i="8" s="1"/>
  <c r="G29" i="8"/>
  <c r="H29" i="8" s="1"/>
  <c r="G27" i="8"/>
  <c r="H27" i="8" s="1"/>
  <c r="W10" i="18"/>
  <c r="W34" i="18"/>
  <c r="W22" i="18"/>
  <c r="W14" i="18"/>
  <c r="W7" i="18"/>
  <c r="W23" i="18"/>
  <c r="W29" i="18"/>
  <c r="W17" i="18"/>
  <c r="W12" i="18"/>
  <c r="W18" i="18"/>
  <c r="W20" i="18"/>
  <c r="W24" i="18"/>
  <c r="W26" i="18"/>
  <c r="W25" i="18"/>
  <c r="W31" i="18"/>
  <c r="W8" i="18"/>
  <c r="W35" i="18"/>
  <c r="W19" i="18"/>
  <c r="W16" i="18"/>
  <c r="W9" i="18"/>
  <c r="W15" i="18"/>
  <c r="W21" i="18"/>
  <c r="W27" i="18"/>
  <c r="W33" i="18"/>
  <c r="W28" i="18"/>
  <c r="W30" i="18"/>
  <c r="W11" i="18"/>
  <c r="W32" i="18"/>
  <c r="W13" i="18"/>
  <c r="W6" i="18"/>
  <c r="B51" i="8"/>
  <c r="W36" i="18" l="1"/>
  <c r="G5" i="40"/>
  <c r="G7" i="40"/>
  <c r="G8" i="40"/>
  <c r="G9" i="40"/>
  <c r="G12" i="40"/>
  <c r="G13" i="40"/>
  <c r="G16" i="40"/>
  <c r="G17" i="40"/>
  <c r="G20" i="40"/>
  <c r="G21" i="40"/>
  <c r="G24" i="40"/>
  <c r="G25" i="40"/>
  <c r="G28" i="40"/>
  <c r="G29" i="40"/>
  <c r="F37" i="23"/>
  <c r="D4" i="41"/>
  <c r="E4" i="41"/>
  <c r="F4" i="41"/>
  <c r="G4" i="41"/>
  <c r="H4" i="41"/>
  <c r="C5" i="41"/>
  <c r="D5" i="41"/>
  <c r="E5" i="41"/>
  <c r="F5" i="41"/>
  <c r="G5" i="41"/>
  <c r="H5" i="41"/>
  <c r="C6" i="41"/>
  <c r="D6" i="41"/>
  <c r="E6" i="41"/>
  <c r="F6" i="41"/>
  <c r="G6" i="41"/>
  <c r="H6" i="41"/>
  <c r="C7" i="41"/>
  <c r="D7" i="41"/>
  <c r="E7" i="41"/>
  <c r="F7" i="41"/>
  <c r="G7" i="41"/>
  <c r="H7" i="41"/>
  <c r="C8" i="41"/>
  <c r="D8" i="41"/>
  <c r="E8" i="41"/>
  <c r="F8" i="41"/>
  <c r="G8" i="41"/>
  <c r="H8" i="41"/>
  <c r="C9" i="41"/>
  <c r="D9" i="41"/>
  <c r="E9" i="41"/>
  <c r="F9" i="41"/>
  <c r="G9" i="41"/>
  <c r="H9" i="41"/>
  <c r="C10" i="41"/>
  <c r="D10" i="41"/>
  <c r="E10" i="41"/>
  <c r="F10" i="41"/>
  <c r="G10" i="41"/>
  <c r="H10" i="41"/>
  <c r="C11" i="41"/>
  <c r="D11" i="41"/>
  <c r="E11" i="41"/>
  <c r="F11" i="41"/>
  <c r="G11" i="41"/>
  <c r="H11" i="41"/>
  <c r="C12" i="41"/>
  <c r="D12" i="41"/>
  <c r="E12" i="41"/>
  <c r="F12" i="41"/>
  <c r="G12" i="41"/>
  <c r="H12" i="41"/>
  <c r="C13" i="41"/>
  <c r="D13" i="41"/>
  <c r="E13" i="41"/>
  <c r="F13" i="41"/>
  <c r="G13" i="41"/>
  <c r="H13" i="41"/>
  <c r="C14" i="41"/>
  <c r="D14" i="41"/>
  <c r="E14" i="41"/>
  <c r="F14" i="41"/>
  <c r="G14" i="41"/>
  <c r="H14" i="41"/>
  <c r="C15" i="41"/>
  <c r="D15" i="41"/>
  <c r="E15" i="41"/>
  <c r="F15" i="41"/>
  <c r="G15" i="41"/>
  <c r="H15" i="41"/>
  <c r="C16" i="41"/>
  <c r="D16" i="41"/>
  <c r="E16" i="41"/>
  <c r="F16" i="41"/>
  <c r="G16" i="41"/>
  <c r="H16" i="41"/>
  <c r="C17" i="41"/>
  <c r="D17" i="41"/>
  <c r="E17" i="41"/>
  <c r="F17" i="41"/>
  <c r="G17" i="41"/>
  <c r="H17" i="41"/>
  <c r="C18" i="41"/>
  <c r="D18" i="41"/>
  <c r="E18" i="41"/>
  <c r="F18" i="41"/>
  <c r="G18" i="41"/>
  <c r="H18" i="41"/>
  <c r="H3" i="41"/>
  <c r="G3" i="41"/>
  <c r="F3" i="41"/>
  <c r="E3" i="41"/>
  <c r="D3" i="41"/>
  <c r="I4" i="41" l="1"/>
  <c r="AL8" i="40"/>
  <c r="B48" i="8" s="1"/>
  <c r="B52" i="8" s="1"/>
  <c r="AI23" i="40"/>
  <c r="AI11" i="40"/>
  <c r="AI16" i="40"/>
  <c r="AI22" i="40"/>
  <c r="AI10" i="40"/>
  <c r="AL6" i="40"/>
  <c r="AI8" i="40"/>
  <c r="AL5" i="40"/>
  <c r="AI20" i="40"/>
  <c r="AI7" i="40"/>
  <c r="AL4" i="40"/>
  <c r="AI19" i="40"/>
  <c r="AL3" i="40"/>
  <c r="AI27" i="40"/>
  <c r="AI13" i="40"/>
  <c r="AI24" i="40"/>
  <c r="AI12" i="40"/>
  <c r="G30" i="40"/>
  <c r="G26" i="40"/>
  <c r="G22" i="40"/>
  <c r="G18" i="40"/>
  <c r="G14" i="40"/>
  <c r="G10" i="40"/>
  <c r="G6" i="40"/>
  <c r="G27" i="40"/>
  <c r="G23" i="40"/>
  <c r="G19" i="40"/>
  <c r="G15" i="40"/>
  <c r="G11" i="40"/>
  <c r="J11" i="40" s="1"/>
  <c r="J9" i="41"/>
  <c r="I7" i="41"/>
  <c r="J5" i="41"/>
  <c r="J15" i="41"/>
  <c r="J17" i="41"/>
  <c r="J13" i="41"/>
  <c r="J11" i="41"/>
  <c r="E29" i="23" s="1"/>
  <c r="F29" i="23" s="1"/>
  <c r="J7" i="41"/>
  <c r="I8" i="41"/>
  <c r="I11" i="41"/>
  <c r="I12" i="41"/>
  <c r="I16" i="41"/>
  <c r="I15" i="41"/>
  <c r="I9" i="41"/>
  <c r="I5" i="41"/>
  <c r="I13" i="41"/>
  <c r="I14" i="41"/>
  <c r="I10" i="41"/>
  <c r="I6" i="41"/>
  <c r="I18" i="41"/>
  <c r="J18" i="41"/>
  <c r="J16" i="41"/>
  <c r="J14" i="41"/>
  <c r="J12" i="41"/>
  <c r="J10" i="41"/>
  <c r="J8" i="41"/>
  <c r="J6" i="41"/>
  <c r="E27" i="23" s="1"/>
  <c r="F27" i="23" s="1"/>
  <c r="J4" i="41"/>
  <c r="I17" i="41"/>
  <c r="J3" i="41"/>
  <c r="I3" i="41"/>
  <c r="D19" i="41"/>
  <c r="C19" i="41"/>
  <c r="K21" i="41" l="1"/>
  <c r="E23" i="23"/>
  <c r="F23" i="23" s="1"/>
  <c r="E12" i="23"/>
  <c r="F12" i="23" s="1"/>
  <c r="AI9" i="40"/>
  <c r="F19" i="41"/>
  <c r="E19" i="41"/>
  <c r="I19" i="41" l="1"/>
  <c r="J19" i="41"/>
  <c r="G19" i="41"/>
  <c r="H19" i="41"/>
  <c r="K3" i="41" l="1"/>
  <c r="K5" i="41"/>
  <c r="K18" i="41"/>
  <c r="K10" i="41"/>
  <c r="K16" i="41"/>
  <c r="K4" i="41"/>
  <c r="K12" i="41"/>
  <c r="K13" i="41"/>
  <c r="K6" i="41"/>
  <c r="K8" i="41"/>
  <c r="K17" i="41"/>
  <c r="K9" i="41"/>
  <c r="K7" i="41"/>
  <c r="K11" i="41"/>
  <c r="K14" i="41"/>
  <c r="K15" i="41"/>
  <c r="K19" i="41" l="1"/>
  <c r="J6" i="40" l="1"/>
  <c r="J24" i="40"/>
  <c r="J8" i="40"/>
  <c r="J25" i="40"/>
  <c r="J22" i="40"/>
  <c r="J9" i="40"/>
  <c r="J4" i="40"/>
  <c r="J29" i="40"/>
  <c r="J23" i="40"/>
  <c r="J17" i="40"/>
  <c r="J7" i="40"/>
  <c r="J5" i="40"/>
  <c r="J27" i="40"/>
  <c r="J19" i="40"/>
  <c r="J18" i="40"/>
  <c r="J16" i="40"/>
  <c r="J15" i="40"/>
  <c r="J13" i="40"/>
  <c r="J12" i="40"/>
  <c r="J10" i="40"/>
  <c r="J21" i="40"/>
  <c r="J20" i="40"/>
  <c r="J30" i="40"/>
  <c r="AI6" i="40" l="1"/>
  <c r="J28" i="40"/>
  <c r="J26" i="40"/>
  <c r="J14" i="40"/>
  <c r="AI5" i="40" l="1"/>
  <c r="AI4" i="40" s="1"/>
  <c r="AI3" i="40" s="1"/>
  <c r="A38" i="18"/>
  <c r="F36" i="18"/>
  <c r="D13" i="23"/>
  <c r="D10" i="23"/>
  <c r="F37" i="18" l="1"/>
  <c r="J20" i="41"/>
  <c r="J21" i="41" s="1"/>
  <c r="A1" i="15" l="1"/>
  <c r="D6" i="18" l="1"/>
  <c r="D36" i="18" s="1"/>
  <c r="C6" i="18"/>
  <c r="A6" i="18"/>
  <c r="E19" i="23"/>
  <c r="D19" i="23"/>
  <c r="E17" i="23"/>
  <c r="D17" i="23"/>
  <c r="F19" i="23" l="1"/>
  <c r="F17" i="23"/>
  <c r="C39" i="8"/>
  <c r="F39" i="8"/>
  <c r="G39" i="8" s="1"/>
  <c r="C21" i="8" l="1"/>
  <c r="G21" i="8" s="1"/>
  <c r="H21" i="8" s="1"/>
  <c r="C13" i="8"/>
  <c r="G13" i="8" l="1"/>
  <c r="H13" i="8" s="1"/>
  <c r="I26" i="8"/>
  <c r="E16" i="23"/>
  <c r="E5" i="23"/>
  <c r="F5" i="23" l="1"/>
  <c r="E7" i="23"/>
  <c r="E13" i="23"/>
  <c r="F13" i="23" s="1"/>
  <c r="E10" i="23"/>
  <c r="C38" i="8"/>
  <c r="B43" i="8"/>
  <c r="F10" i="23" l="1"/>
  <c r="E11" i="23"/>
  <c r="C44" i="8"/>
  <c r="B49" i="8" s="1"/>
  <c r="B50" i="8" l="1"/>
  <c r="B53" i="8"/>
  <c r="C26" i="8" l="1"/>
  <c r="B39" i="8"/>
  <c r="D39" i="8" s="1"/>
  <c r="C10" i="8"/>
  <c r="G10" i="8" l="1"/>
  <c r="H10" i="8" s="1"/>
  <c r="C33" i="8"/>
  <c r="C43" i="8"/>
  <c r="C9" i="8"/>
  <c r="G9" i="8" l="1"/>
  <c r="H9" i="8" s="1"/>
  <c r="G33" i="8"/>
  <c r="F38" i="8"/>
  <c r="G38" i="8" s="1"/>
  <c r="C35" i="8"/>
  <c r="C45" i="8"/>
  <c r="D43" i="8"/>
  <c r="B44" i="8"/>
  <c r="C8" i="8"/>
  <c r="H33" i="8" l="1"/>
  <c r="G8" i="8"/>
  <c r="H8" i="8" s="1"/>
  <c r="F40" i="8"/>
  <c r="G40" i="8" s="1"/>
  <c r="D16" i="23"/>
  <c r="D44" i="8"/>
  <c r="D45" i="8" s="1"/>
  <c r="B45" i="8"/>
  <c r="C7" i="8"/>
  <c r="E18" i="23"/>
  <c r="F35" i="8"/>
  <c r="G7" i="8" l="1"/>
  <c r="H7" i="8" s="1"/>
  <c r="I24" i="8"/>
  <c r="D18" i="23"/>
  <c r="F16" i="23"/>
  <c r="I7" i="8"/>
  <c r="D7" i="23"/>
  <c r="B38" i="8"/>
  <c r="D38" i="8" s="1"/>
  <c r="C24" i="8"/>
  <c r="C34" i="8" s="1"/>
  <c r="E20" i="23"/>
  <c r="G26" i="8"/>
  <c r="H26" i="8" s="1"/>
  <c r="C40" i="8"/>
  <c r="F7" i="23" l="1"/>
  <c r="G24" i="8"/>
  <c r="G34" i="8" s="1"/>
  <c r="E34" i="23"/>
  <c r="D20" i="23"/>
  <c r="F18" i="23"/>
  <c r="D11" i="23"/>
  <c r="F11" i="23" s="1"/>
  <c r="B40" i="8"/>
  <c r="D40" i="8" s="1"/>
  <c r="E32" i="23"/>
  <c r="E28" i="23"/>
  <c r="E36" i="23"/>
  <c r="E24" i="23"/>
  <c r="E38" i="23"/>
  <c r="E26" i="23"/>
  <c r="E30" i="23"/>
  <c r="H24" i="8" l="1"/>
  <c r="D34" i="23"/>
  <c r="F34" i="23" s="1"/>
  <c r="F20" i="23"/>
  <c r="D30" i="23"/>
  <c r="F30" i="23" s="1"/>
  <c r="D28" i="23"/>
  <c r="F28" i="23" s="1"/>
  <c r="D36" i="23"/>
  <c r="F36" i="23" s="1"/>
  <c r="D38" i="23"/>
  <c r="F38" i="23" s="1"/>
  <c r="D24" i="23"/>
  <c r="F24" i="23" s="1"/>
  <c r="D32" i="23"/>
  <c r="F32" i="23" s="1"/>
  <c r="D26" i="23"/>
  <c r="F26" i="23" s="1"/>
</calcChain>
</file>

<file path=xl/sharedStrings.xml><?xml version="1.0" encoding="utf-8"?>
<sst xmlns="http://schemas.openxmlformats.org/spreadsheetml/2006/main" count="1045" uniqueCount="612">
  <si>
    <t>Total</t>
  </si>
  <si>
    <t>Pessoal</t>
  </si>
  <si>
    <t>Imobilizado</t>
  </si>
  <si>
    <t>Variação</t>
  </si>
  <si>
    <t>Unidade Responsável</t>
  </si>
  <si>
    <t>Denominação</t>
  </si>
  <si>
    <t>TOTAL</t>
  </si>
  <si>
    <t>Especificação</t>
  </si>
  <si>
    <t>1. Receitas Correntes</t>
  </si>
  <si>
    <t>1.1.1 Anuidades</t>
  </si>
  <si>
    <t>1.1.1.1 Pessoa Física</t>
  </si>
  <si>
    <t>1.1.1.2 Pessoa Jurídica</t>
  </si>
  <si>
    <t>1.2 Aplicações Financeiras</t>
  </si>
  <si>
    <t>1.4 Fundo de Apoio</t>
  </si>
  <si>
    <t>2.1 Saldos de Exercícios Anteriores (Superávit Financeiro)</t>
  </si>
  <si>
    <t xml:space="preserve"> I – TOTAL</t>
  </si>
  <si>
    <t>II – TOTAL</t>
  </si>
  <si>
    <t>VARIAÇÃO (I-II)</t>
  </si>
  <si>
    <t>Impactar significativamente o planejamento e a gestão do território</t>
  </si>
  <si>
    <t>Tornar a fiscalização um vetor de melhoria do exercício da Arquitetura e Urbanismo</t>
  </si>
  <si>
    <t>Assegurar a eficácia no atendimento e no relacionamento com os arquitetos e urbanistas e a sociedade</t>
  </si>
  <si>
    <t>Estimular o conhecimento, o uso de processos criativos e a difusão das melhores práticas em Arquitetura e Urbanismo</t>
  </si>
  <si>
    <t>Garantir a participação dos arquitetos e urbanistas no planejamento territorial e na gestão urbana</t>
  </si>
  <si>
    <t>Estimular a produção da arquitetura e urbanismo como política de Estado</t>
  </si>
  <si>
    <t>Assegurar a eficácia no relacionamento e comunicação com a sociedade</t>
  </si>
  <si>
    <t>Promover o exercício ético e qualificado da profissão</t>
  </si>
  <si>
    <t>Fomentar o acesso da sociedade à Arquitetura e Urbanismo</t>
  </si>
  <si>
    <t>Assegurar a sustentabilidade financeira</t>
  </si>
  <si>
    <t>Aprimorar e inovar os processos e as ações</t>
  </si>
  <si>
    <t>Desenvolver competências de dirigentes e colaboradores</t>
  </si>
  <si>
    <t>Construir cultura organizacional adequada à estratégia</t>
  </si>
  <si>
    <t>Ter sistemas de informação e infraestrutura que viabilizem a gestão e o atendimento dos arquitetos e urbanistas e a sociedade</t>
  </si>
  <si>
    <t>Indicadores Institucionais e de Resultado (agrupados por objetivo estratégico) - Metas</t>
  </si>
  <si>
    <t>Objetivo Estratégico Principal</t>
  </si>
  <si>
    <t>MAPA ESTRATÉGICO CAU/UF</t>
  </si>
  <si>
    <t>Denominação (Projeto/Atividade)</t>
  </si>
  <si>
    <t>Material de Consumo</t>
  </si>
  <si>
    <t>Serviços de Terceiros</t>
  </si>
  <si>
    <t>Encargos Diversos</t>
  </si>
  <si>
    <t>Soma</t>
  </si>
  <si>
    <t>% Part.</t>
  </si>
  <si>
    <t>Diárias</t>
  </si>
  <si>
    <t>Passagens</t>
  </si>
  <si>
    <t>Serviços Prestados</t>
  </si>
  <si>
    <t>TOTAL GERAL</t>
  </si>
  <si>
    <t>BASE DE CÁLCULO</t>
  </si>
  <si>
    <t>APLICAÇÕES DE RECURSOS</t>
  </si>
  <si>
    <t xml:space="preserve">FOLHA DE PAGAMENTO </t>
  </si>
  <si>
    <t>2. Recursos do fundo de apoio (CAU Básico)</t>
  </si>
  <si>
    <t>Valor</t>
  </si>
  <si>
    <t xml:space="preserve">% </t>
  </si>
  <si>
    <t>LIMITES</t>
  </si>
  <si>
    <t xml:space="preserve">Objetivo Geral </t>
  </si>
  <si>
    <t xml:space="preserve">Fórmula </t>
  </si>
  <si>
    <t xml:space="preserve">Periodicidade </t>
  </si>
  <si>
    <t>B- INDICADORES DE RESULTADO</t>
  </si>
  <si>
    <t>A- INDICADORES INSTITUCIONAIS</t>
  </si>
  <si>
    <t>B. Valor total das rescisões contratuais, auxílio alimentação, auxílio transporte, plano de saúde e demais benefícios.</t>
  </si>
  <si>
    <t>3. Soma (1+2)</t>
  </si>
  <si>
    <t>C. Receitas Correntes</t>
  </si>
  <si>
    <t>4. Aportes ao Fundo de Apoio</t>
  </si>
  <si>
    <t>Pessoal e Encargos</t>
  </si>
  <si>
    <t>A. Pessoal e Encargos (Valores totais)</t>
  </si>
  <si>
    <t>1. QUADRO GERAL</t>
  </si>
  <si>
    <t>Resultado</t>
  </si>
  <si>
    <t>1.1.3 RRT</t>
  </si>
  <si>
    <t xml:space="preserve">BASE DE CÁLCULO </t>
  </si>
  <si>
    <t xml:space="preserve">Variação </t>
  </si>
  <si>
    <t>Corrente</t>
  </si>
  <si>
    <t xml:space="preserve">Capital </t>
  </si>
  <si>
    <t>5.  Receita da Arrecadação Líquida (RAL = 3 - 4)</t>
  </si>
  <si>
    <t>Anual</t>
  </si>
  <si>
    <t>Trimestral</t>
  </si>
  <si>
    <t>1.1.1.1.2 Anuidade Exercícios anteriores</t>
  </si>
  <si>
    <t>1.1.1.2.2 Anuidade Exercícios anteriores</t>
  </si>
  <si>
    <t>1.1 Receitas de Arrecadação Total</t>
  </si>
  <si>
    <t>x 100</t>
  </si>
  <si>
    <t>Mensal</t>
  </si>
  <si>
    <t>Semestral</t>
  </si>
  <si>
    <t>número de usuários satisfeitos com a solução da demanda</t>
  </si>
  <si>
    <t>número de usuários que responderam a pesquisa</t>
  </si>
  <si>
    <t>total de notícias sobre questões de Arquitetura e Urbanismo</t>
  </si>
  <si>
    <t>total de inserções do CAU na mídia</t>
  </si>
  <si>
    <t>passivo circulante</t>
  </si>
  <si>
    <t>total de profissionais ativos</t>
  </si>
  <si>
    <t>total de empresas inadimplentes</t>
  </si>
  <si>
    <t>horas totais de treinamento</t>
  </si>
  <si>
    <t>número total de colaboradores e dirigentes</t>
  </si>
  <si>
    <t>total de usuários internos que participaram da pesquisa</t>
  </si>
  <si>
    <t>total de usuários externos que participaram da pesquisa</t>
  </si>
  <si>
    <t>01 - Erradicação da pobreza</t>
  </si>
  <si>
    <t>05 - Igualdade de gênero</t>
  </si>
  <si>
    <t>08 - Trabalho decente e crescimento econômico</t>
  </si>
  <si>
    <t>10 - Redução das desigualdades</t>
  </si>
  <si>
    <t>11 - Cidades e comunidades sustentáveis</t>
  </si>
  <si>
    <t>14 - Vida na água</t>
  </si>
  <si>
    <t>16 - Paz, justiça e instituições eficazes</t>
  </si>
  <si>
    <t>17 - Parcerias e meios de implementação</t>
  </si>
  <si>
    <t>02 - Fome zero e agricultura sustentável</t>
  </si>
  <si>
    <t>03 - Saúde e bem-estar</t>
  </si>
  <si>
    <t>04 - Educação de qualidade</t>
  </si>
  <si>
    <t>06 - Água limpa e saneamento</t>
  </si>
  <si>
    <t>09 - Inovação infraestrutura</t>
  </si>
  <si>
    <t>12 - Consumo e produção responsáveis</t>
  </si>
  <si>
    <t>13 - Ação contra a mudança global do clima</t>
  </si>
  <si>
    <t>15 - Vida terrestre</t>
  </si>
  <si>
    <t>I - Receitas</t>
  </si>
  <si>
    <t>II - Despesas</t>
  </si>
  <si>
    <t>Assegurar a eficácia no atendimento e no relacionamento com os Arquitetos e Urbanistas e a Sociedade</t>
  </si>
  <si>
    <t>Auto-Atendimento</t>
  </si>
  <si>
    <t>Qualificação dos Canais de Atendimento</t>
  </si>
  <si>
    <t>Ações Locais em Mídia</t>
  </si>
  <si>
    <t>Ações Nacionais em Mídia</t>
  </si>
  <si>
    <t>Atualização do Portal da Transparência</t>
  </si>
  <si>
    <t>Estimular a produção da Arquitetura e Urbanismo como política de Estado</t>
  </si>
  <si>
    <t>Representação em Instâncias Públicas</t>
  </si>
  <si>
    <t>Câmaras Temáticas</t>
  </si>
  <si>
    <t>Editais de Patrocínio</t>
  </si>
  <si>
    <t>Capacitação em ATHIS</t>
  </si>
  <si>
    <t>Cooperação Técnica para ATHIS</t>
  </si>
  <si>
    <t>Influenciar as diretrizes do ensino de Arquitetura e Urbanismo e sua formação continuada</t>
  </si>
  <si>
    <t>Ações de Melhoria da Qualidade do Ensino</t>
  </si>
  <si>
    <t>CAU nas Escolas</t>
  </si>
  <si>
    <t>Audiências de Conciliação</t>
  </si>
  <si>
    <t>Melhoria de Processo Ético</t>
  </si>
  <si>
    <t>Palestras e campanhas sobre Aspectos Éticos</t>
  </si>
  <si>
    <t>Cooperação Técnica para Fiscalização</t>
  </si>
  <si>
    <t>Plataforma de Georreferenciamento</t>
  </si>
  <si>
    <t>Fiscalização Orientativa</t>
  </si>
  <si>
    <t>Fiscalização em Obras</t>
  </si>
  <si>
    <t>Serviços de Terceiros- Diárias</t>
  </si>
  <si>
    <t>Serviços de Terceiros- Passagens</t>
  </si>
  <si>
    <t>Serviços de Terceiros- Serviços Prestados</t>
  </si>
  <si>
    <t>Serviços de Terceiros- Aluguéis e Encargos</t>
  </si>
  <si>
    <t>Transferências Correntes</t>
  </si>
  <si>
    <t xml:space="preserve">Objetivos de Desenvolvimento Sustentável </t>
  </si>
  <si>
    <t>2.2 Outras Receitas de Capital</t>
  </si>
  <si>
    <t>1.3 Outras Receitas Correntes</t>
  </si>
  <si>
    <t>Não se aplica</t>
  </si>
  <si>
    <t>Atendimento Eletrônico</t>
  </si>
  <si>
    <t>Valorizar a Arquitetura e Urbanismo</t>
  </si>
  <si>
    <t>Garantir a participação dos Arquitetos e Urbanistas no planejamento territorial e na gestão urbana</t>
  </si>
  <si>
    <t xml:space="preserve">Reserva de Contingência </t>
  </si>
  <si>
    <t>P/A/ PE</t>
  </si>
  <si>
    <t>RRT mínima</t>
  </si>
  <si>
    <t>número de usuários internos satisfeitos com a tecnologia</t>
  </si>
  <si>
    <t>número de usuários externos satisfeitos com a tecnologia</t>
  </si>
  <si>
    <t>ativo circulante</t>
  </si>
  <si>
    <t>total de profissionais inadimplentes</t>
  </si>
  <si>
    <t>número de processos éticos concluídos em um ano</t>
  </si>
  <si>
    <t>Variação
(%)</t>
  </si>
  <si>
    <t>1.1.4 Taxas e Multas</t>
  </si>
  <si>
    <t xml:space="preserve">1. Receita de Arrecadação Total </t>
  </si>
  <si>
    <t xml:space="preserve">Reserva de 
Contingência </t>
  </si>
  <si>
    <t>Sociedade</t>
  </si>
  <si>
    <t>número de municípios  da UF que possuem  Plano Diretor</t>
  </si>
  <si>
    <t>total de municípios da UF</t>
  </si>
  <si>
    <t xml:space="preserve">quantidade de ações de fiscalização realizadas pelo CAU/UF no mês </t>
  </si>
  <si>
    <t xml:space="preserve">Mensal </t>
  </si>
  <si>
    <t xml:space="preserve">número de ações de fiscalização previstas no Plano de Ação aprovado </t>
  </si>
  <si>
    <t>quantidade de obras e serviços regulares</t>
  </si>
  <si>
    <t>quantidade de obras e serviços fiscalizados pelo CAU/UF</t>
  </si>
  <si>
    <t>número total de RRT registrados (pagos) por mês</t>
  </si>
  <si>
    <t xml:space="preserve"> total de profissionais ativos </t>
  </si>
  <si>
    <t>quantidade de denúncias atendidas</t>
  </si>
  <si>
    <t>número de denúncias recebidas</t>
  </si>
  <si>
    <t>número de processos de fiscalização concluídos no semestre</t>
  </si>
  <si>
    <t xml:space="preserve"> número total de processos de fiscalização em aberto no ano</t>
  </si>
  <si>
    <t>quantidade de termos de cooperação técnica e parcerias para racionalização da ações de fiscalização</t>
  </si>
  <si>
    <t>número de termos e parcerias previstos no Plano de Ação</t>
  </si>
  <si>
    <t>quantidade mensal de ações de fiscalização realizada</t>
  </si>
  <si>
    <t>número de horas de fiscalização mensal</t>
  </si>
  <si>
    <t>quantidade obras e serviços com RRT</t>
  </si>
  <si>
    <t>quantidade de obras e serviços regularizados</t>
  </si>
  <si>
    <t>quantidade de obras e serviços regularizados com RRT</t>
  </si>
  <si>
    <t>quantidade obras e serviços regularizados</t>
  </si>
  <si>
    <t xml:space="preserve">número de reclamações recebidas pela Ouvidoria  no trimestre                                                                                                               </t>
  </si>
  <si>
    <t xml:space="preserve">número total de atendimentos pela Ouvidoria no trimestre                                   </t>
  </si>
  <si>
    <t>valor orçamentário investido (executado) em patrocínios no ano</t>
  </si>
  <si>
    <t xml:space="preserve">Anual
</t>
  </si>
  <si>
    <t>valor orçamentário destinado (orçado) em patrocínios no ano</t>
  </si>
  <si>
    <t>Quantidade de participantes presentes</t>
  </si>
  <si>
    <t>quantidade de participantes previstas no Plano de Ação Aprovado</t>
  </si>
  <si>
    <t>custos totais dos eventos</t>
  </si>
  <si>
    <t>quantidade de participantes presentes</t>
  </si>
  <si>
    <t>número de pessoas atingida pelo material produzido e distribuído</t>
  </si>
  <si>
    <t>quantidade de material informativo produzido</t>
  </si>
  <si>
    <t>número de ações com participação do CAU/UF</t>
  </si>
  <si>
    <t>número de municípios da UF que passaram a aplicar a Lei de Assistência Técnica</t>
  </si>
  <si>
    <t>quantidade de acessos qualificados (visitantes únicos) a página do CAU/UF</t>
  </si>
  <si>
    <t>número de inserções na mídia em geral onde o CAU/UF foi citado</t>
  </si>
  <si>
    <t>número de inserções positivas do CAU/UF na mídia</t>
  </si>
  <si>
    <t>Número de  visualizações das publicações do CAU/UF das redes sociais</t>
  </si>
  <si>
    <t>quantidade de visualizações das publicações do CAU/UF das redes sociais</t>
  </si>
  <si>
    <t>número de escolas da UF com a disciplina de ética profissional na grade curricular</t>
  </si>
  <si>
    <t>número total de escolas da UF</t>
  </si>
  <si>
    <t>número total de processos éticos abertos</t>
  </si>
  <si>
    <t>tempo médio de conclusão de processos éticos</t>
  </si>
  <si>
    <t>tempo máximo para conclusão de processo</t>
  </si>
  <si>
    <t>total de RRT na UF</t>
  </si>
  <si>
    <t>população total da UF/1000 habitantes</t>
  </si>
  <si>
    <t>RRT Social</t>
  </si>
  <si>
    <t>receita corrente</t>
  </si>
  <si>
    <t>custo total de pessoal</t>
  </si>
  <si>
    <t xml:space="preserve">Semestral </t>
  </si>
  <si>
    <t xml:space="preserve">total de empresas ativas </t>
  </si>
  <si>
    <t>número de processos mapeados</t>
  </si>
  <si>
    <t xml:space="preserve">total de processos existentes </t>
  </si>
  <si>
    <t>número de processos normatizados</t>
  </si>
  <si>
    <t>total de processos existentes</t>
  </si>
  <si>
    <t>número de processos automatizados</t>
  </si>
  <si>
    <t>Número de ações executadas</t>
  </si>
  <si>
    <t xml:space="preserve">quantidade de ações executadas voltadas à cultura organizacional e estratégia                                                                                                                  </t>
  </si>
  <si>
    <t>Índice de cumprimento das metas do Plano de Ação (%)</t>
  </si>
  <si>
    <t>COMENTÁRIOS/JUSTIFICATIVAS:</t>
  </si>
  <si>
    <t>Correntes
(R$)</t>
  </si>
  <si>
    <t>Capital
(R$)</t>
  </si>
  <si>
    <t>TOTAL
(R$)</t>
  </si>
  <si>
    <t>Justificativas para os indicadores que não foram propostas metas:</t>
  </si>
  <si>
    <t>07 - Energia limpa e acessível </t>
  </si>
  <si>
    <t>número de solicitações tratadas no prazo estipulado pela Carta de Serviços no trimestre</t>
  </si>
  <si>
    <t>número de solicitações abertas no trimestre</t>
  </si>
  <si>
    <t>total de RRT pagos na UF</t>
  </si>
  <si>
    <t>total de profissionais potenciais pagantes</t>
  </si>
  <si>
    <r>
      <t xml:space="preserve">Índice de municípios que possuem  Plano Diretor, em conformidade com os critérios da legislação (%) 
</t>
    </r>
    <r>
      <rPr>
        <b/>
        <sz val="12"/>
        <color theme="1"/>
        <rFont val="Calibri"/>
        <family val="2"/>
        <scheme val="minor"/>
      </rPr>
      <t xml:space="preserve">(CAU/UF) </t>
    </r>
  </si>
  <si>
    <r>
      <t xml:space="preserve">Índice da capacidade de fiscalização (%) 
</t>
    </r>
    <r>
      <rPr>
        <b/>
        <sz val="12"/>
        <rFont val="Calibri"/>
        <family val="2"/>
        <scheme val="minor"/>
      </rPr>
      <t xml:space="preserve">(CAU/UF) </t>
    </r>
  </si>
  <si>
    <r>
      <t xml:space="preserve">Índice de presença profissional nas obras e  serviços fiscalizados  (%)
</t>
    </r>
    <r>
      <rPr>
        <b/>
        <sz val="12"/>
        <rFont val="Calibri"/>
        <family val="2"/>
        <scheme val="minor"/>
      </rPr>
      <t xml:space="preserve">(CAU/UF) </t>
    </r>
    <r>
      <rPr>
        <sz val="12"/>
        <rFont val="Calibri"/>
        <family val="2"/>
        <scheme val="minor"/>
      </rPr>
      <t xml:space="preserve">                   </t>
    </r>
  </si>
  <si>
    <r>
      <t xml:space="preserve">Índice de RRT por profissional ativo (Qtd)
</t>
    </r>
    <r>
      <rPr>
        <b/>
        <sz val="12"/>
        <rFont val="Calibri"/>
        <family val="2"/>
        <scheme val="minor"/>
      </rPr>
      <t xml:space="preserve">(CAU/UF)         </t>
    </r>
    <r>
      <rPr>
        <sz val="12"/>
        <rFont val="Calibri"/>
        <family val="2"/>
        <scheme val="minor"/>
      </rPr>
      <t xml:space="preserve">       </t>
    </r>
  </si>
  <si>
    <r>
      <t xml:space="preserve">Índice de capacidade de atendimento de denúncias 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</si>
  <si>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de fiscalização 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</si>
  <si>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articulação institucional para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</si>
  <si>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produtividade de fiscalização (%)
</t>
    </r>
    <r>
      <rPr>
        <b/>
        <sz val="12"/>
        <rFont val="Calibri"/>
        <family val="2"/>
        <scheme val="minor"/>
      </rPr>
      <t>(CAU/UF)</t>
    </r>
  </si>
  <si>
    <r>
      <t xml:space="preserve">Índice de regularidade no CAU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</si>
  <si>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de obras e serviços (%)
</t>
    </r>
    <r>
      <rPr>
        <b/>
        <sz val="12"/>
        <rFont val="Calibri"/>
        <family val="2"/>
        <scheme val="minor"/>
      </rPr>
      <t>(CAU/UF)</t>
    </r>
  </si>
  <si>
    <r>
      <t xml:space="preserve">Índice de regularização com RRT (%)
</t>
    </r>
    <r>
      <rPr>
        <b/>
        <sz val="12"/>
        <rFont val="Calibri"/>
        <family val="2"/>
        <scheme val="minor"/>
      </rPr>
      <t>(CAU/UF)</t>
    </r>
  </si>
  <si>
    <r>
      <t xml:space="preserve">Índice de atendimento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</si>
  <si>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com a solução da demanda (%)
</t>
    </r>
    <r>
      <rPr>
        <b/>
        <sz val="12"/>
        <rFont val="Calibri"/>
        <family val="2"/>
        <scheme val="minor"/>
      </rPr>
      <t>(CAU/UF)</t>
    </r>
  </si>
  <si>
    <r>
      <t xml:space="preserve">Índice de reclamações recebidas na Ouvidoria (%)
</t>
    </r>
    <r>
      <rPr>
        <b/>
        <sz val="12"/>
        <rFont val="Calibri"/>
        <family val="2"/>
        <scheme val="minor"/>
      </rPr>
      <t>(CAU/UF)</t>
    </r>
  </si>
  <si>
    <r>
      <t xml:space="preserve">Índice da capacidade de execução dos investimentos em patrocínios  (%)
</t>
    </r>
    <r>
      <rPr>
        <b/>
        <sz val="12"/>
        <rFont val="Calibri"/>
        <family val="2"/>
        <scheme val="minor"/>
      </rPr>
      <t>(CAU/UF)</t>
    </r>
  </si>
  <si>
    <r>
      <t xml:space="preserve">Índice de difusão de conhecimento em eventos próprios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</si>
  <si>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de custos de eventos próprios
</t>
    </r>
    <r>
      <rPr>
        <b/>
        <sz val="12"/>
        <rFont val="Calibri"/>
        <family val="2"/>
        <scheme val="minor"/>
      </rPr>
      <t>(CAU/UF)</t>
    </r>
  </si>
  <si>
    <r>
      <t xml:space="preserve">Índice de alcance das melhores práticas (%)
</t>
    </r>
    <r>
      <rPr>
        <b/>
        <sz val="12"/>
        <rFont val="Calibri"/>
        <family val="2"/>
        <scheme val="minor"/>
      </rPr>
      <t>(CAU/UF)</t>
    </r>
  </si>
  <si>
    <r>
      <t xml:space="preserve">Ações realizadas em conjunto com municípios, destinadas ao planejamento urbano
</t>
    </r>
    <r>
      <rPr>
        <b/>
        <sz val="12"/>
        <color theme="1"/>
        <rFont val="Calibri"/>
        <family val="2"/>
        <scheme val="minor"/>
      </rPr>
      <t>(CAU/UF)</t>
    </r>
  </si>
  <si>
    <r>
      <t xml:space="preserve">Participação do CAU na elaboração ou regulamentação da Lei da Assistência Técnica Gratuita (Lei nº 11.888/08) (%)
</t>
    </r>
    <r>
      <rPr>
        <b/>
        <sz val="12"/>
        <rFont val="Calibri"/>
        <family val="2"/>
        <scheme val="minor"/>
      </rPr>
      <t>(CAU/UF)</t>
    </r>
  </si>
  <si>
    <r>
      <t xml:space="preserve">Índice de ações realizadas destinadas à Assistência Técnica (%)
</t>
    </r>
    <r>
      <rPr>
        <b/>
        <sz val="12"/>
        <rFont val="Calibri"/>
        <family val="2"/>
        <scheme val="minor"/>
      </rPr>
      <t>(CAU/UF)</t>
    </r>
  </si>
  <si>
    <r>
      <t xml:space="preserve">Acessos à página do CAU (Qtd.)
</t>
    </r>
    <r>
      <rPr>
        <b/>
        <sz val="12"/>
        <rFont val="Calibri"/>
        <family val="2"/>
        <scheme val="minor"/>
      </rPr>
      <t>(CAU/UF)</t>
    </r>
  </si>
  <si>
    <r>
      <t xml:space="preserve">Índice de presença na mídia como um todo (%)
</t>
    </r>
    <r>
      <rPr>
        <b/>
        <sz val="12"/>
        <rFont val="Calibri"/>
        <family val="2"/>
        <scheme val="minor"/>
      </rPr>
      <t>(CAU/UF)</t>
    </r>
  </si>
  <si>
    <r>
      <t xml:space="preserve">Índice de inserções positivas na mídia (%)
</t>
    </r>
    <r>
      <rPr>
        <b/>
        <sz val="12"/>
        <rFont val="Calibri"/>
        <family val="2"/>
        <scheme val="minor"/>
      </rPr>
      <t>(CAU/UF)</t>
    </r>
  </si>
  <si>
    <r>
      <t xml:space="preserve">Índice de escolas que possuem disciplinas com conteúdo sobre a ética profissional (%)
</t>
    </r>
    <r>
      <rPr>
        <b/>
        <sz val="12"/>
        <rFont val="Calibri"/>
        <family val="2"/>
        <scheme val="minor"/>
      </rPr>
      <t>(CAU/UF)</t>
    </r>
  </si>
  <si>
    <r>
      <t xml:space="preserve">Índice de eficiência na conclusão de processos éticos (%)
</t>
    </r>
    <r>
      <rPr>
        <b/>
        <sz val="12"/>
        <rFont val="Calibri"/>
        <family val="2"/>
        <scheme val="minor"/>
      </rPr>
      <t>(CAU/UF)</t>
    </r>
  </si>
  <si>
    <r>
      <t xml:space="preserve">Eficiência no trâmite de processos éticos (dias)
</t>
    </r>
    <r>
      <rPr>
        <b/>
        <sz val="12"/>
        <rFont val="Calibri"/>
        <family val="2"/>
        <scheme val="minor"/>
      </rPr>
      <t>(CAU/UF)</t>
    </r>
  </si>
  <si>
    <r>
      <t xml:space="preserve">Índice de RRT por população (1.000 habitantes) (%)
</t>
    </r>
    <r>
      <rPr>
        <b/>
        <sz val="12"/>
        <rFont val="Calibri"/>
        <family val="2"/>
        <scheme val="minor"/>
      </rPr>
      <t>(CAU/UF)</t>
    </r>
  </si>
  <si>
    <r>
      <t xml:space="preserve">Índice de RRT mínimos (%)
</t>
    </r>
    <r>
      <rPr>
        <b/>
        <sz val="12"/>
        <rFont val="Calibri"/>
        <family val="2"/>
        <scheme val="minor"/>
      </rPr>
      <t>(CAU/UF)</t>
    </r>
  </si>
  <si>
    <r>
      <t xml:space="preserve">Índice de RRT Social (%)
</t>
    </r>
    <r>
      <rPr>
        <b/>
        <sz val="12"/>
        <rFont val="Calibri"/>
        <family val="2"/>
        <scheme val="minor"/>
      </rPr>
      <t>(CAU/UF)</t>
    </r>
  </si>
  <si>
    <r>
      <t xml:space="preserve">Índice de receita por arquiteto e urbanista 
</t>
    </r>
    <r>
      <rPr>
        <b/>
        <sz val="12"/>
        <rFont val="Calibri"/>
        <family val="2"/>
        <scheme val="minor"/>
      </rPr>
      <t>(CAU/UF)</t>
    </r>
  </si>
  <si>
    <r>
      <t xml:space="preserve">Relação receita/custo total de pessoal (%)
</t>
    </r>
    <r>
      <rPr>
        <b/>
        <sz val="12"/>
        <rFont val="Calibri"/>
        <family val="2"/>
        <scheme val="minor"/>
      </rPr>
      <t>(CAU/UF)</t>
    </r>
  </si>
  <si>
    <r>
      <t xml:space="preserve">Índice de liquidez corrente 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</si>
  <si>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física (%)
</t>
    </r>
    <r>
      <rPr>
        <b/>
        <sz val="12"/>
        <rFont val="Calibri"/>
        <family val="2"/>
        <scheme val="minor"/>
      </rPr>
      <t>(CAU/UF)</t>
    </r>
  </si>
  <si>
    <r>
      <t xml:space="preserve">Índice de inadimplência pessoa jurídica (%)
</t>
    </r>
    <r>
      <rPr>
        <b/>
        <sz val="12"/>
        <rFont val="Calibri"/>
        <family val="2"/>
        <scheme val="minor"/>
      </rPr>
      <t>(CAU/UF)</t>
    </r>
  </si>
  <si>
    <r>
      <t xml:space="preserve">Índice de mapeamento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</si>
  <si>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normatização de processos (%)
</t>
    </r>
    <r>
      <rPr>
        <b/>
        <sz val="12"/>
        <rFont val="Calibri"/>
        <family val="2"/>
        <scheme val="minor"/>
      </rPr>
      <t>(CAU/UF)</t>
    </r>
  </si>
  <si>
    <r>
      <t xml:space="preserve">Índice de automação de processos (%)
</t>
    </r>
    <r>
      <rPr>
        <b/>
        <sz val="12"/>
        <rFont val="Calibri"/>
        <family val="2"/>
        <scheme val="minor"/>
      </rPr>
      <t>(CAU/UF)</t>
    </r>
  </si>
  <si>
    <r>
      <t xml:space="preserve">Média de horas de treinamento por colaboradores e dirigentes
</t>
    </r>
    <r>
      <rPr>
        <b/>
        <sz val="12"/>
        <rFont val="Calibri"/>
        <family val="2"/>
        <scheme val="minor"/>
      </rPr>
      <t>(CAU/UF)</t>
    </r>
  </si>
  <si>
    <r>
      <t>total de iniciativas executadas</t>
    </r>
    <r>
      <rPr>
        <b/>
        <sz val="12"/>
        <rFont val="Calibri"/>
        <family val="2"/>
        <scheme val="minor"/>
      </rPr>
      <t xml:space="preserve">                                                                       </t>
    </r>
  </si>
  <si>
    <r>
      <t>total de iniciativas planejadas</t>
    </r>
    <r>
      <rPr>
        <b/>
        <sz val="12"/>
        <rFont val="Calibri"/>
        <family val="2"/>
        <scheme val="minor"/>
      </rPr>
      <t xml:space="preserve">                                                                                  </t>
    </r>
  </si>
  <si>
    <r>
      <t xml:space="preserve">Índice de satisfação interna com a tecnologia utilizada (%)
</t>
    </r>
    <r>
      <rPr>
        <b/>
        <sz val="12"/>
        <rFont val="Calibri"/>
        <family val="2"/>
        <scheme val="minor"/>
      </rPr>
      <t>(CAU/UF)</t>
    </r>
  </si>
  <si>
    <r>
      <t xml:space="preserve">Índice de satisfação externa com a tecnologia utilizada (%)
</t>
    </r>
    <r>
      <rPr>
        <b/>
        <sz val="12"/>
        <rFont val="Calibri"/>
        <family val="2"/>
        <scheme val="minor"/>
      </rPr>
      <t>(CAU/UF)</t>
    </r>
  </si>
  <si>
    <t>Indicadores selecionados pelo UF (para uso do CAU/BR)</t>
  </si>
  <si>
    <t>Objetivos de Desenvolvimento Sustentável</t>
  </si>
  <si>
    <t>II - Despesas de capital</t>
  </si>
  <si>
    <t>A. Saldo IV = (I-II-III)</t>
  </si>
  <si>
    <t>P</t>
  </si>
  <si>
    <t>A</t>
  </si>
  <si>
    <t>PE</t>
  </si>
  <si>
    <t>P.</t>
  </si>
  <si>
    <t>A.</t>
  </si>
  <si>
    <t>PE.</t>
  </si>
  <si>
    <t>Informações</t>
  </si>
  <si>
    <t>2. Receitas de Capital</t>
  </si>
  <si>
    <t>1.1 Projetos</t>
  </si>
  <si>
    <t>1.3 Atividades</t>
  </si>
  <si>
    <t>2. Aportes ao Fundo de Apoio</t>
  </si>
  <si>
    <t xml:space="preserve">3. Aporte ao CSC </t>
  </si>
  <si>
    <t>4. Reserva de Contingência</t>
  </si>
  <si>
    <t>TO</t>
  </si>
  <si>
    <t>SP</t>
  </si>
  <si>
    <t>SE</t>
  </si>
  <si>
    <t>SC</t>
  </si>
  <si>
    <t>RS</t>
  </si>
  <si>
    <t>RR</t>
  </si>
  <si>
    <t>RO</t>
  </si>
  <si>
    <t>RN</t>
  </si>
  <si>
    <t>RJ</t>
  </si>
  <si>
    <t>PR</t>
  </si>
  <si>
    <t>PI</t>
  </si>
  <si>
    <t>PB</t>
  </si>
  <si>
    <t>PA</t>
  </si>
  <si>
    <t>RRT - Quantidade</t>
  </si>
  <si>
    <t>MT</t>
  </si>
  <si>
    <t>PJ - Inadimplência</t>
  </si>
  <si>
    <t>MS</t>
  </si>
  <si>
    <t>PJ - Quantidade</t>
  </si>
  <si>
    <t>MG</t>
  </si>
  <si>
    <t>PF - Inadimplência</t>
  </si>
  <si>
    <t>1.1.3 Taxas e Multas</t>
  </si>
  <si>
    <t>MA</t>
  </si>
  <si>
    <t>GO</t>
  </si>
  <si>
    <t>Quantidades e Inadimplência</t>
  </si>
  <si>
    <t>ES</t>
  </si>
  <si>
    <t>DF</t>
  </si>
  <si>
    <t>CE</t>
  </si>
  <si>
    <t>Encontro de Contas</t>
  </si>
  <si>
    <t>BA</t>
  </si>
  <si>
    <t>Fundo de Apoio - Plenárias Ampliadas</t>
  </si>
  <si>
    <t>AP</t>
  </si>
  <si>
    <t>Fundo de Apoio - APORTE</t>
  </si>
  <si>
    <t>AM</t>
  </si>
  <si>
    <t>AL</t>
  </si>
  <si>
    <t>CSC - Atendimento</t>
  </si>
  <si>
    <t>AC</t>
  </si>
  <si>
    <t>CSC - Fiscalização</t>
  </si>
  <si>
    <t>Quantitativo</t>
  </si>
  <si>
    <t>Inadimplência</t>
  </si>
  <si>
    <t>Taxas Bancárias
(Outras Receitas)</t>
  </si>
  <si>
    <t>Atendimento</t>
  </si>
  <si>
    <t>Fiscalização</t>
  </si>
  <si>
    <t>Repasse do Fundo de Apoio</t>
  </si>
  <si>
    <t>Utilização com Plenárias Ampliadas</t>
  </si>
  <si>
    <t>Aporte ao
Fundo de Apoio</t>
  </si>
  <si>
    <t>Exercícios Anteriores</t>
  </si>
  <si>
    <t>Exercício</t>
  </si>
  <si>
    <t>Demais valores a checar</t>
  </si>
  <si>
    <t>Fontes de Receitas Correntes (80%)</t>
  </si>
  <si>
    <t>RRT</t>
  </si>
  <si>
    <t>PJ</t>
  </si>
  <si>
    <t>PF</t>
  </si>
  <si>
    <t>Taxas</t>
  </si>
  <si>
    <t>Informações para os Indicadores</t>
  </si>
  <si>
    <t>Ressarcimento</t>
  </si>
  <si>
    <t>CSC</t>
  </si>
  <si>
    <t>Fundo de Apoio</t>
  </si>
  <si>
    <t>UF</t>
  </si>
  <si>
    <t>Ativos</t>
  </si>
  <si>
    <t>Potencial Pagantes</t>
  </si>
  <si>
    <t>Pessoas e Infraestrutura</t>
  </si>
  <si>
    <t>Processos Internos</t>
  </si>
  <si>
    <t>Qde.</t>
  </si>
  <si>
    <t>Part. %</t>
  </si>
  <si>
    <t>Total Iniciativas</t>
  </si>
  <si>
    <t>Atividade</t>
  </si>
  <si>
    <t>Projeto</t>
  </si>
  <si>
    <t>Projetos/Objetivos Estratégicos</t>
  </si>
  <si>
    <t>Perspectivas</t>
  </si>
  <si>
    <t>Projeto Específico</t>
  </si>
  <si>
    <t>selecione abaixo</t>
  </si>
  <si>
    <t>PF - Ativos</t>
  </si>
  <si>
    <t>PF - Potencial Pagantes</t>
  </si>
  <si>
    <t>Dados Geográficos</t>
  </si>
  <si>
    <r>
      <t xml:space="preserve">Frente aos objetivos estratégicos selecionados no Mapa Estratégico (nacionais e locais), sugerimos a seleção de ao menos um indicador vinculado a cada objetivo.
</t>
    </r>
    <r>
      <rPr>
        <b/>
        <sz val="12"/>
        <color theme="1"/>
        <rFont val="Calibri"/>
        <family val="2"/>
        <scheme val="minor"/>
      </rPr>
      <t>Caso não defina meta, favor justificar neste campo.</t>
    </r>
  </si>
  <si>
    <t>A - FONTES</t>
  </si>
  <si>
    <t>B. APLICAÇÕES</t>
  </si>
  <si>
    <t>-</t>
  </si>
  <si>
    <t>Programação</t>
  </si>
  <si>
    <t>II a - Percentual de utilização para capital</t>
  </si>
  <si>
    <t>III a - Percentual de utilização para PE</t>
  </si>
  <si>
    <t>1.1.1.1.1 Anuidade do Exercício 2024</t>
  </si>
  <si>
    <t>1.1.1.2.1 Anuidade do Exercício 2024</t>
  </si>
  <si>
    <t>FONTES</t>
  </si>
  <si>
    <t>APLICAÇÃO</t>
  </si>
  <si>
    <t>População - 2022</t>
  </si>
  <si>
    <t>Superávit Financeiro 2022</t>
  </si>
  <si>
    <t>gerplan2024</t>
  </si>
  <si>
    <t>1.2 Projetos Estratégicos</t>
  </si>
  <si>
    <t>Aplicação do Superávit Financeiro</t>
  </si>
  <si>
    <t>III - Projetos Estratégicos (PE)</t>
  </si>
  <si>
    <t>LEGENDA: P = PROJETO/ A = ATIVIDADE/ PE = PROJETO ESTRATÉGICO</t>
  </si>
  <si>
    <t xml:space="preserve">Deliberações importantes </t>
  </si>
  <si>
    <t>2) Não alterar cores, fórmulas e formatações no modelo.</t>
  </si>
  <si>
    <t>4) Atentar as orientações em amarelo em cada aba da Planilha .</t>
  </si>
  <si>
    <t>Orientações para preenchimento do Modelo do Plano de Ação - Reprogramação 2024</t>
  </si>
  <si>
    <t>1) O valor da Programação 2024 deve ser igual ao valor APROVADO no Plano de Ação 2024 , ou seja, sem transposição. Para os CAU/UF que realizaram a Reprogramação Extraordinária 2024, deve ser considerado como refererência para preenchimento nos campos da Programação 2024.</t>
  </si>
  <si>
    <t>3) Usar o arquivo da Reprogramação 2024 enviado pela GERPLAN.
O anexo 4 é de envio facultativo.</t>
  </si>
  <si>
    <t xml:space="preserve">5) O valor do "Executado 2024": retirar do SISCONT. NET, no caminho "Centro de Custos&gt; Relatórios&gt; Demonstrativo de empenhos/pagamentos"; período de  01/01/2024 até 31/05/2024; na coluna "LIQUIDAÇÕES". </t>
  </si>
  <si>
    <t>6) O valor das "Receitas realizadas 2024": retirar do SISCONT. NET, no caminho:  "Contabilidade&gt; Relatórios-&gt;Consolidado&gt;comparativo da receita"; período de 01/01/2024 até 31/05/2024; na coluna "Arrec.Período"</t>
  </si>
  <si>
    <t>7) Na proposta de Reprogramação do Plano de Ação 2024, fica VEDADA, a inobservância de aplicação dos percentuais mínimos e máximos, referenciados na Receita de Arrecadação Líquida (RAL), para os limites estratégicos (anexo 2), com exceção para o limite de Capacitação, mediante justificativas próprias, os CAU/UF poderão flexibilizar a aplicação de recursos mínimo de 2% e máximo de 4% da folha de pagamento.</t>
  </si>
  <si>
    <t>Resoluções nº  204 e 211/2021, 250/2024, que alterou a Resolução nº 193/2020</t>
  </si>
  <si>
    <t>Reprogramação</t>
  </si>
  <si>
    <t xml:space="preserve">Rerogramação </t>
  </si>
  <si>
    <t>Meta
Reprogramação</t>
  </si>
  <si>
    <t>Meta
Programação</t>
  </si>
  <si>
    <t>Execução Jan/Maio
 (B)</t>
  </si>
  <si>
    <t>Projetado Jun/Dez
 (C )</t>
  </si>
  <si>
    <t>Programação 2024 
(A)</t>
  </si>
  <si>
    <t>Reprogramação 2024</t>
  </si>
  <si>
    <t>Reprogramação 2024
 (D)</t>
  </si>
  <si>
    <t xml:space="preserve"> Valor
(F=D-A)</t>
  </si>
  <si>
    <t>% 
(G= F/A *100)</t>
  </si>
  <si>
    <t>AT/N/R/E/C</t>
  </si>
  <si>
    <t>Execução 
Jan/Maio (B)</t>
  </si>
  <si>
    <t>Projetado
Jun/Dez  (C)</t>
  </si>
  <si>
    <t>Programação
(A)</t>
  </si>
  <si>
    <t>Reprogramação
(B)</t>
  </si>
  <si>
    <t>I - Superávit financeiro acumulado em 2023</t>
  </si>
  <si>
    <t>1. Reprogramação Operacional</t>
  </si>
  <si>
    <t>Proposta
Reprogramação
(D=B+C)</t>
  </si>
  <si>
    <t>RESUMO DA PROGRAMAÇÃO 2024
POR CATEGORIA ECONÔMICA</t>
  </si>
  <si>
    <t>Comentários / Justificativas quando da flexibilização da aplicação de recursos mínimos e máximos dos limites estratégicos passíveis de flexibilização.</t>
  </si>
  <si>
    <t>PLANO DE AÇÃO - REPROGRAMAÇÃO</t>
  </si>
  <si>
    <t>Anexo 1 - Demonstrativo de Fontes e Aplicações - Reprogramação</t>
  </si>
  <si>
    <t>Anexo 2 - Limites de Aplicação dos Recursos Estratégicos - Reprogramação</t>
  </si>
  <si>
    <t>Anexo 3- Aplicações por Projetos/Atividades - por Elementos de Despesas (Consolidado) - Reprogramação</t>
  </si>
  <si>
    <t xml:space="preserve">A custear com
Recursos do
Superávit Financeiro
 (E) </t>
  </si>
  <si>
    <t xml:space="preserve">RESOLUÇÃO N° 200, DE 15 DE DEZEMBRO DE 2020 e N 247/2023
</t>
  </si>
  <si>
    <t>Objetivos Locais do CAU/UF</t>
  </si>
  <si>
    <t xml:space="preserve"> Despesas com Pessoal*
(máximo de 60% sobre as Receitas Correntes)</t>
  </si>
  <si>
    <t>Capacitação*
(mínimo de 2%  da Folha de Pagamento)</t>
  </si>
  <si>
    <t xml:space="preserve">Fiscalização*
(mínimo de 25,0% do total da RAL)                                       </t>
  </si>
  <si>
    <t>Assistência Técnica*
(mínimo de 3,0% do total da RAL)</t>
  </si>
  <si>
    <t>Atendimento**
(mínimo de 10,0% do total da RAL)</t>
  </si>
  <si>
    <t>Comunicação**
(mínimo de 3,0% do total da RAL)</t>
  </si>
  <si>
    <t>Patrocínio**
(máximo de 5,0% do total da RAL)</t>
  </si>
  <si>
    <t>Patrimônio**
(mínimo de 2,0% do total da RAL)</t>
  </si>
  <si>
    <t xml:space="preserve">Objetivos Estratégicos Locais**
(mínimo de 6,0% do total da RAL)          </t>
  </si>
  <si>
    <t>Reserva de Contingência**
(máximo 2,0% do total da RAL)</t>
  </si>
  <si>
    <t xml:space="preserve">* Limites Obrigatórios     ** Limites Recomendados </t>
  </si>
  <si>
    <t>Total (R$)</t>
  </si>
  <si>
    <t>Reprogramação (R$)</t>
  </si>
  <si>
    <t>Superávit financiero
apurado em
2023</t>
  </si>
  <si>
    <t>População estimada
2022</t>
  </si>
  <si>
    <t xml:space="preserve">Auxílio Remoto </t>
  </si>
  <si>
    <t>Auxílio Embarque e Desembarque</t>
  </si>
  <si>
    <t>Jeton</t>
  </si>
  <si>
    <t>Auxílio Representação</t>
  </si>
  <si>
    <t xml:space="preserve">Outras Indenizações </t>
  </si>
  <si>
    <t>29.6%</t>
  </si>
  <si>
    <t>51.1%</t>
  </si>
  <si>
    <t>CAU/UF:  BA</t>
  </si>
  <si>
    <t>Presidência</t>
  </si>
  <si>
    <t>Direção Geral</t>
  </si>
  <si>
    <t>Gerência Técnica</t>
  </si>
  <si>
    <t>Gerência de Operações</t>
  </si>
  <si>
    <t>Gerência Financeira</t>
  </si>
  <si>
    <t>Assessoria Jurídica</t>
  </si>
  <si>
    <t>Comissão de Ética</t>
  </si>
  <si>
    <t>Comissão de Organização e Administração</t>
  </si>
  <si>
    <t>Comissão de Exercício Profissional e Fiscalização</t>
  </si>
  <si>
    <t>Comissão de Planejamento e Finanças</t>
  </si>
  <si>
    <t>Comissão de Ensino</t>
  </si>
  <si>
    <t>Plenária</t>
  </si>
  <si>
    <t>Gerência  Financeira</t>
  </si>
  <si>
    <t>Assessoria de Comunicação</t>
  </si>
  <si>
    <t>Gerência de Atendimento</t>
  </si>
  <si>
    <t>Gerência de Fiscalização</t>
  </si>
  <si>
    <t>Gerência Administrativa</t>
  </si>
  <si>
    <t>Plenário</t>
  </si>
  <si>
    <t>Comissão Temporária de Comunicação e Eventos - CCOE</t>
  </si>
  <si>
    <t>AT</t>
  </si>
  <si>
    <t>R</t>
  </si>
  <si>
    <t>N</t>
  </si>
  <si>
    <t>Articulação Institucional e fomento de parcerias estratégicas.</t>
  </si>
  <si>
    <t>Manutenção Institucional</t>
  </si>
  <si>
    <t>Orientação, esclarecimento e atendimento de demandas de profissionais e empresas</t>
  </si>
  <si>
    <t>Operacionalização dos processos éticos e de multa/fiscalização</t>
  </si>
  <si>
    <t>Manutenção Financeira</t>
  </si>
  <si>
    <t>Consultoria e Assessoria Jurídica</t>
  </si>
  <si>
    <t>Operacionalização e processamento dos  processos éticos</t>
  </si>
  <si>
    <t>Assessoramento organizacional-institucional</t>
  </si>
  <si>
    <t>Operacionalização da Fiscalização e fomento da valorização profissional</t>
  </si>
  <si>
    <t>Operacionalização, Planejamento e Controle do CAU</t>
  </si>
  <si>
    <t>Fomento ao aperfeiçoamento e à formação profissional</t>
  </si>
  <si>
    <t>Fomento a ações que buscam promover melhorias da prática profissional e política urbana</t>
  </si>
  <si>
    <t>Operacionalização das reuniões institucionais regimentais</t>
  </si>
  <si>
    <t>Semana do Arquiteto</t>
  </si>
  <si>
    <t>Patrocínio</t>
  </si>
  <si>
    <t>Aporte ao Fundo de Apoio</t>
  </si>
  <si>
    <t>Comunicação Institucional</t>
  </si>
  <si>
    <t>Programa de Capacitação dos Colaboradores</t>
  </si>
  <si>
    <t>Programa de Assistência Técnica</t>
  </si>
  <si>
    <t>Atendimento da Sociedade e arquitetos e urbanistas</t>
  </si>
  <si>
    <t>Reforma sede CAU/BA</t>
  </si>
  <si>
    <t>Aquisição de Equipamentos</t>
  </si>
  <si>
    <t>CSC -Fiscalização</t>
  </si>
  <si>
    <t>CSC- Atendimento</t>
  </si>
  <si>
    <t>Plano de Fiscalização</t>
  </si>
  <si>
    <t>Reserva de Contingência</t>
  </si>
  <si>
    <t>Aquisição sede CAU/BA</t>
  </si>
  <si>
    <t>Manutenção Administrativa</t>
  </si>
  <si>
    <t>Projeto Intercomissões</t>
  </si>
  <si>
    <t>Prover recursos humanos e materiais para articular parcerias e estimular práticas voltadas a valorização e fiscalização profissional</t>
  </si>
  <si>
    <t>Prover  a estruturação, seja por meio de recursos humanos, equipamentos,  materiais e tecnologia  para execução das atividades das diversas unidades e comissões regimentais e não regimentais do CAU/BA</t>
  </si>
  <si>
    <t xml:space="preserve">Orientar, disciplinar e promover o exercício qualificado da Arquitetura e Urbanismo </t>
  </si>
  <si>
    <t>Prover recursos humanos e materiais para operacionalizar, planejar e identificar o segmento técnico fiscalizável  e no âmbito do Estado da Bahia, além de prover a estruturação dos processos éticos.</t>
  </si>
  <si>
    <t>Prover recursos humanos e materiais, operacionalizar e planejar a continuidade das ações  financeiras do CAU/BA, zelando pelo equilíbrio das contas do Conselho.</t>
  </si>
  <si>
    <t>Prover recursos humanos e materiais para estruturar, organizar e manter em funcionamento a Assessoria Jurídica do CAU-BA.</t>
  </si>
  <si>
    <t>Prover recursos humanos e materiais visando o processamento das demandas ético-disciplinares</t>
  </si>
  <si>
    <t>Prover recursos humanos e materiais visando a estruturação e organização dos normativos do CAU/BA.</t>
  </si>
  <si>
    <t>Prover recursos humanos e materiais visando a estruturação e organização das ações de valorização profissional e de fiscalização.</t>
  </si>
  <si>
    <t>Prover recursos humanos e materiais visando a estruturação e organização do planejamento e de controle do CAU/BA</t>
  </si>
  <si>
    <t>Prover recursos humanos e materiais visando a estruturação e organização da educação continuada e de formação profissional no âmbito do CAU/BA.</t>
  </si>
  <si>
    <t>Prover recursos técnicos visando a estruturação ao empreendedorismo dos arquitetos e urbanistas</t>
  </si>
  <si>
    <t>Intercambiar informações e atualizar as diretrizes de atuação no âmbito Estadual</t>
  </si>
  <si>
    <t>Promover evento que fomente a dignificação da Arquitetura por meio do intercâmbio de informações técnico-temático</t>
  </si>
  <si>
    <t>Intensificar parcerias voltadas ao desenvolvimento da Arquitetura e Urbanismo</t>
  </si>
  <si>
    <t>Contribuir para estruturação e distribuição de recursos vinculadas a constituição de Fundo de Apoio.</t>
  </si>
  <si>
    <t>Prover recursos humanos e materiais para promover e disseminar a  missão, visão,  consolidando a marca CAU/BA</t>
  </si>
  <si>
    <t>Direcionar o profissional a um processo de educação, reciclagem e alteração de comportamento</t>
  </si>
  <si>
    <t>Disseminar e sensibilizar a assistência técnica pública e gratuita para o projeto e a construção de habitação de interesse social, como parte integrante do direito social à moradia previsto.</t>
  </si>
  <si>
    <t>Aperfeiçoar o atendimento aos públicos interno e externo e  aprimorar o relacionamento com a sociedade</t>
  </si>
  <si>
    <t>Reestruturação dos espaços e atividades</t>
  </si>
  <si>
    <t>Modernizar parque computacional do CAU/BA</t>
  </si>
  <si>
    <t>Dotar a Gerência de Fiscalização de sistemas que facilitem a gestão e a tomada de decisão no Plano de Fiscalização do CAU/BA</t>
  </si>
  <si>
    <t>Dotar a Gerência de Atendimento de sistemas que facilitem e agilizem o atendimento aos profissionais</t>
  </si>
  <si>
    <t>Implementar o Plano de Fiscalização Profissional no âmbito do Estado da Bahia</t>
  </si>
  <si>
    <t>Suportar eventuais ações estratégicas não contempladas no PA</t>
  </si>
  <si>
    <t>Melhoria das instalações e das distribuições das unidades internas e atividades funcionais</t>
  </si>
  <si>
    <t>Planejar e gerenciar as ações  administrativas do CAU/BA, zelando pela contratação mais vantajosa para o Conselho.</t>
  </si>
  <si>
    <t xml:space="preserve">Possibilitar a aplicação de recursos em ações estratégicas de âmbito global, compreendendo a necessidade de transversalidade das ações das comissões, de modo a cumprir a função do CAU, de “orientar, disciplinar e fiscalizar o exercício da profissão de arquitetura e urbanismo, zelar pela fiel observância dos princípios de ética e disciplina da classe em todo o território nacional, bem como pugnar pelo aperfeiçoamento do exercício da arquitetura e urbanismo” </t>
  </si>
  <si>
    <t>Fortalecimento e sedimentação da missão e visão do sistema CAU em face da sociedade, profissionais, instituições públicas e privadas.</t>
  </si>
  <si>
    <t>Manter a continuidade dos serviços e atividades do CAU/BA; Assegurar o bom funcionamento, manter a organização e promover a estruturação necessária para garantia da eficácia dos serviços, desde o atendimento, fomento à valorização profissional e fiscalização.</t>
  </si>
  <si>
    <t xml:space="preserve">Melhorar quantitativamente e qualitativamente o atendimento prestado aos profissionais e empresas </t>
  </si>
  <si>
    <t>Contribuir para a maximização das ações de fiscalização com utilização de mecanismos inovadores para sua efetivação; Contribuir para a maximização das ações disciplinares éticas.</t>
  </si>
  <si>
    <t>Melhoria no gerenciamento do fluxo de pagamentos e contratações, com vistas a estruturar rotinas eficazes de gestão.</t>
  </si>
  <si>
    <t>Elevar o conhecimento dos colaboradores em normativos aplicáveis a autarquia CAU/BA, compartilhando informações e procedimentos</t>
  </si>
  <si>
    <t>Contribuir para a otimização e agilização dos processos administrativos ético-disciplinares no âmbito do CAU/BA</t>
  </si>
  <si>
    <t>Contribuir para a otimização e agilização dos procedimentos operacionais e administrativos no âmbito do CAU/BA.</t>
  </si>
  <si>
    <t>Contribuir para a efetivação da fiscalização, mediante análise comparativa de dados, cumprimento de diligências, participação da sociedade, com vistas a assegurar a melhoria do exercício profissional do Arquiteto e Urbanista.</t>
  </si>
  <si>
    <t>Contribuir para a otimização e agilização dos procedimentos de planejamento e de controle no âmbito do CAU/BA</t>
  </si>
  <si>
    <t>Contribuir para a otimização e agilização dos procedimentos internos no âmbito do CAU/BA vinculados ao ensino e formação.</t>
  </si>
  <si>
    <t>Contribuir para a disseminação da cultura empreendedora e organização da atividade profissional sob a perspectiva dos negócios</t>
  </si>
  <si>
    <t>Prover recursos humanos e materiais visando a estruturação e organização das ações do Plenário do âmbito do CAU/BA</t>
  </si>
  <si>
    <t>Intensificar e aproximar O CAU/BA com seu público-alvo e a sociedade em geral, além de aprimorar a atuação profissional, por meio do fomento ao aperfeiçoamento profissional.</t>
  </si>
  <si>
    <t>Estruturar e solidificar parcerias estratégicas</t>
  </si>
  <si>
    <t>Participação na estruturação de organização sistêmica nacional</t>
  </si>
  <si>
    <t>Solidificar a imagem, a marca e a missão do CAU/BA enquanto instituição que busca promover a Arquitetura para todos, em defesa da sociedade</t>
  </si>
  <si>
    <t>Dotar o CAU/BA de rotina continuada de fomento e de valorização dos colaboradores</t>
  </si>
  <si>
    <t>Valorização e disseminação da cultura da Assistência Técnica</t>
  </si>
  <si>
    <t>Aperfeiçoar a qualidade do atendimento prestado aos públicos interno e externo.</t>
  </si>
  <si>
    <t>O redimensionamento dos espaços contribuirá para melhoria das atividades de fiscalização, de registro, cadastro, atendimento e funcionamento do CAU/BA</t>
  </si>
  <si>
    <t>Otimização e agilização dos procedimentos internos e redução no tempo de atendimento ao profissional Arquiteto e Urbanista</t>
  </si>
  <si>
    <t>Otimização e agilização dos procedimentos internos de fiscalização</t>
  </si>
  <si>
    <t xml:space="preserve">Melhoria na qualidade e na redução do tempo de atendimento </t>
  </si>
  <si>
    <t>Manter a continuidade Operacional do Plano de Fiscalização, visando maximização de suas ações.</t>
  </si>
  <si>
    <t>Possibilitar a aplicação de recursos em ações não contempladas no PA</t>
  </si>
  <si>
    <t>Melhoria no gerenciamento do fluxo de contratos, com vistas a estruturar rotinas eficazes de gestão.</t>
  </si>
  <si>
    <t>Fortalecer e sedimentar a missão do CAU/BA de “promover, em benefício da sociedade, a melhoria do exercício profissional da Arquitetura e Urbanismo, atuando com eficácia na orientação, disciplina, fiscalização e na disseminação do conhecimento”, fomentando as boas práticas profissionais e aproximando o CAU/BA do seu público-alvo e da sociedade em geral</t>
  </si>
  <si>
    <t xml:space="preserve">  VALORES BENEFÍCIOS SOBRE A FOLHA DE PAGAMENTO: VALE TRANSPORTE: R$49.790,16 / PROGRAMA ALMENTAÇÃO DO TRABALHADOR: R$ 204.512,55 / PLANO DE SAÚDE: R$ 133.963,10 </t>
  </si>
  <si>
    <t>CCOE</t>
  </si>
  <si>
    <t>Melhora na interlocução do CAU/BA com instituições e organizações governamentais e não governamentais, que tenham afinidade com os princípios originais deste Conselho</t>
  </si>
  <si>
    <t>Impactar de forma plural na comunidade de arquitetos, arquitetas e urbanistas, assim como, promover ações de interesse da comunidade profissional, desenvolvendo atividades de impacto, eventos construtivos e abrangentes, impulsionar ações e noticias de relevância para a sociedade e comunidade profissional.</t>
  </si>
  <si>
    <t>Comissão Especial de Políticas para Arquitetura e Urbanismo - CEPAU</t>
  </si>
  <si>
    <t>Programação
 (A)</t>
  </si>
  <si>
    <t>R$
 (E=D-A)</t>
  </si>
  <si>
    <t>%
 (F=D/A)</t>
  </si>
  <si>
    <t xml:space="preserve">Participação
 (G)           </t>
  </si>
  <si>
    <t xml:space="preserve">Os ajustes necessários constam em comentários realizados em cada célula ou na proposta do plano de ação analisada em anexo. 
Os ajustes que se façam necessários sejam realizados, bem como o reenvio da proposta ajustada, diretamente no arquivo enviado para análise final e elaboração do Parecer.
</t>
  </si>
  <si>
    <t>COMENTÁRIOS</t>
  </si>
  <si>
    <t>FALTA</t>
  </si>
  <si>
    <r>
      <t xml:space="preserve">Deliberação do Plenário do CAU/UF </t>
    </r>
    <r>
      <rPr>
        <b/>
        <sz val="14"/>
        <color theme="2"/>
        <rFont val="Calibri"/>
        <family val="2"/>
        <scheme val="minor"/>
      </rPr>
      <t>Resolução n.200 Art 3º-  § 3° As deliberações citadas nos itens VI, VII e VII deverão conter, expressamente, tabela com os valores de receitas e despesas (separadas em correntes e de capital) e o quantitativo de iniciativas aprovadas. (Inserido pela Resolução n° 247/2023)</t>
    </r>
  </si>
  <si>
    <r>
      <t xml:space="preserve">Parecer/Deliberação da Comissão de Planejamento e Finanças do CAU/UF- </t>
    </r>
    <r>
      <rPr>
        <b/>
        <sz val="14"/>
        <color theme="2"/>
        <rFont val="Calibri"/>
        <family val="2"/>
        <scheme val="minor"/>
      </rPr>
      <t xml:space="preserve">Resolução n. 200 Art 3º- § 3° As deliberações citadas nos itens VI, VII e VII deverão conter, expressamente, tabela com os valores de receitas e despesas (separadas em correntes e de capital) e o quantitativo de iniciativas aprovadas. (Inserido pela Resolução n° 247/2023) </t>
    </r>
  </si>
  <si>
    <r>
      <t xml:space="preserve">Aprovações prévia do Projeto Estratégico (Comissão e Plenário) - </t>
    </r>
    <r>
      <rPr>
        <b/>
        <sz val="14"/>
        <color theme="2"/>
        <rFont val="Calibri"/>
        <family val="2"/>
        <scheme val="minor"/>
      </rPr>
      <t xml:space="preserve"> Resolução n. 200 - Art 3º § 3° As deliberações citadas nos itens VI, VII e VII deverão conter, expressamente, tabela com os valores de receitas e despesas (separadas em correntes e de capital) e o quantitativo de iniciativas aprovadas. (Inserido pela Resolução n° 247/2024) </t>
    </r>
  </si>
  <si>
    <t>OK</t>
  </si>
  <si>
    <t>Anexo 3- Elementos de Despesas - (com base na RESOLUÇÃO N° 238, DE 16 DE JUNHO DE 2023)</t>
  </si>
  <si>
    <t>APRIMORAMENTO</t>
  </si>
  <si>
    <r>
      <t>Anexo 2- Limites de Aplicação dos Recursos Estratégicos
1- Vedada a inobservância de aplicação dos recursos mínimos e máximos dos limites Obrigatórios (Fiscaliação, Athis, Pessoal e Capacitação)
2 - Apontamento da aplicação abaixo/acima do recomendado;
3- No cálculo do % do limite de Fiscalização não devem</t>
    </r>
    <r>
      <rPr>
        <b/>
        <sz val="16"/>
        <color rgb="FFFFFFFF"/>
        <rFont val="Calibri"/>
        <family val="2"/>
        <scheme val="minor"/>
      </rPr>
      <t xml:space="preserve"> </t>
    </r>
    <r>
      <rPr>
        <b/>
        <u/>
        <sz val="16"/>
        <color rgb="FFFFFFFF"/>
        <rFont val="Calibri"/>
        <family val="2"/>
        <scheme val="minor"/>
      </rPr>
      <t>ser incluídos</t>
    </r>
    <r>
      <rPr>
        <b/>
        <sz val="14"/>
        <color rgb="FFFFFFFF"/>
        <rFont val="Calibri"/>
        <family val="2"/>
        <scheme val="minor"/>
      </rPr>
      <t xml:space="preserve"> o valor de aquisição e aluguel de imóveis e o valor de aquisição de automóveis (Fonte: TCU).
</t>
    </r>
  </si>
  <si>
    <r>
      <t>2. Projeto Estratégico -</t>
    </r>
    <r>
      <rPr>
        <b/>
        <sz val="14"/>
        <color theme="2"/>
        <rFont val="Calibri"/>
        <family val="2"/>
        <scheme val="minor"/>
      </rPr>
      <t xml:space="preserve">novo na Reprogramação 2024 </t>
    </r>
    <r>
      <rPr>
        <b/>
        <sz val="14"/>
        <color rgb="FFFFFFFF"/>
        <rFont val="Calibri"/>
        <family val="2"/>
        <scheme val="minor"/>
      </rPr>
      <t xml:space="preserve">- usar o novo modelo da planilha, conforme Resolução n. 247/23 - Cobrar o Plano de trabalho e as deliberações </t>
    </r>
  </si>
  <si>
    <r>
      <t>1. Projeto Estratégico -</t>
    </r>
    <r>
      <rPr>
        <b/>
        <sz val="14"/>
        <color theme="2"/>
        <rFont val="Calibri"/>
        <family val="2"/>
        <scheme val="minor"/>
      </rPr>
      <t xml:space="preserve"> já existente na Programação 2024</t>
    </r>
    <r>
      <rPr>
        <b/>
        <sz val="14"/>
        <color rgb="FFFFFFFF"/>
        <rFont val="Calibri"/>
        <family val="2"/>
        <scheme val="minor"/>
      </rPr>
      <t xml:space="preserve">- sendo possível, ajustar ao novo modelo da planilha, conforme resolução n. 247/23 - Cobrar o Plano de trabalho e as deliberações </t>
    </r>
  </si>
  <si>
    <r>
      <t xml:space="preserve">Valor Apurado em </t>
    </r>
    <r>
      <rPr>
        <b/>
        <sz val="14"/>
        <color theme="4"/>
        <rFont val="Calibri"/>
        <family val="2"/>
        <scheme val="minor"/>
      </rPr>
      <t>2023</t>
    </r>
    <r>
      <rPr>
        <b/>
        <sz val="14"/>
        <color rgb="FFFFFFFF"/>
        <rFont val="Calibri"/>
        <family val="2"/>
        <scheme val="minor"/>
      </rPr>
      <t xml:space="preserve">
(Comunicar ao CAU/UF observância dos valores utilizados em 2023)</t>
    </r>
  </si>
  <si>
    <t>Superávit Financeiro - observância ao aprovado na Resolução n. 247/23</t>
  </si>
  <si>
    <t>Tarifas bancárias -  ver Diretrizes p. 52
OBS: Incorporar na fonte de recursos “outras receitas” Correntes .</t>
  </si>
  <si>
    <t>APRIMORAR</t>
  </si>
  <si>
    <t>Equilíbrio orçamentário (despesas = receitas)</t>
  </si>
  <si>
    <t>DIVERGÊNCIAS</t>
  </si>
  <si>
    <t>Valores Totais das Receitas de acordo com as Diretrizes de Reprogramação 2024 .
OBS: Caso o CAU/UF realizar projeções especificas, deve incluir suas justificativas.</t>
  </si>
  <si>
    <t>Valores da Programação/Reprogramação Extraordinária 2024
OBS: Os valores estão de acordo com a última Programação/Reprogramação  Aprovada em 2024</t>
  </si>
  <si>
    <t>Anexo 1- Fontes e Aplicações</t>
  </si>
  <si>
    <t>c) Encontro de Contas - ver Diretrizes p. 50</t>
  </si>
  <si>
    <t>b) CSC Atendimento (Obs: RIA e  Teleatendimento) - ver Diretrizes p. 49</t>
  </si>
  <si>
    <t>a) CSC Fiscalização (Obs:  Demais Serviços Essenciais do CSC)  - ver Diretrizes p. 49</t>
  </si>
  <si>
    <t>Valor do aporte está de acordo com as Diretrizes  p. 46 e 47</t>
  </si>
  <si>
    <t xml:space="preserve">Fundo de Apoio </t>
  </si>
  <si>
    <t>NÃO SE APLICA</t>
  </si>
  <si>
    <t>2) Ação: Participação do Presidente nas plenárias ampliadas, no Fórum de Presidentes e Eventos - ver Diretrizes p. 47</t>
  </si>
  <si>
    <t>1) não pode ser utilizado com despesas de capital (Resolução n. 126 - CSC)</t>
  </si>
  <si>
    <t>CAU/Básicos
Utilização do Fundo de Apoio</t>
  </si>
  <si>
    <t xml:space="preserve">Quadro Geral 
</t>
  </si>
  <si>
    <t>NÃO</t>
  </si>
  <si>
    <t>Indicadores e Metas 
OBS.: Os indicadores vinculados aos objetivos selecionados foram mensurados?</t>
  </si>
  <si>
    <t>SIM</t>
  </si>
  <si>
    <t>Mapa Estratégico
OBS.: verificar  alteração dos Objetivos Estratégicos Locais na Reprogramação 2024.</t>
  </si>
  <si>
    <t xml:space="preserve">COMENTÁRIOS/SUGESTÕES </t>
  </si>
  <si>
    <t>STATUS</t>
  </si>
  <si>
    <t>ESPECIFICAÇÕES</t>
  </si>
  <si>
    <t xml:space="preserve"> Análise da Proposta de REPROGRAMAÇÃO 2024</t>
  </si>
  <si>
    <t>Versão Análise CAU BR</t>
  </si>
  <si>
    <t>Responsável(eis) do CAU/UF:</t>
  </si>
  <si>
    <t>Data Retorno para o Estado:</t>
  </si>
  <si>
    <t>Data de Recebimento da Proposta:</t>
  </si>
  <si>
    <t>Responsável(eis) pela Análise:</t>
  </si>
  <si>
    <t xml:space="preserve">TIPO DE CAU </t>
  </si>
  <si>
    <t>CAU:</t>
  </si>
  <si>
    <t>CHECK LIST - REPROGRAMAÇÃO PLANO DE AÇÃO E ORÇAMENTO - 2024</t>
  </si>
  <si>
    <t>Bahia</t>
  </si>
  <si>
    <t>NORMAL</t>
  </si>
  <si>
    <t>Marcos Cristino de Oliveira</t>
  </si>
  <si>
    <t>Ralfe Vinhas</t>
  </si>
  <si>
    <t>1ª versão</t>
  </si>
  <si>
    <t>Objetivos Locais atualizados</t>
  </si>
  <si>
    <t>Em conformidade</t>
  </si>
  <si>
    <t>Verificar as células nas cores amarelo, vermelho e azul e proceder com os deviso ajustes conforme a necessidade.</t>
  </si>
  <si>
    <t>Limite de Fiscalização não atingido.
Verificar as células nas cores amarelo, vermelho e azul e proceder com os deviso ajustes conforme a necessidade.</t>
  </si>
  <si>
    <t>Informar a data de realização da reunião da Comissão.</t>
  </si>
  <si>
    <t>Informar a data de realização da reunião do Plenário.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</si>
</sst>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\-&quot;R$&quot;#,##0.00"/>
    <numFmt numFmtId="165" formatCode="&quot;R$&quot;#,##0.00;[Red]\-&quot;R$&quot;#,##0.00"/>
    <numFmt numFmtId="166" formatCode="_(* #,##0.00_);_(* \(#,##0.00\);_(* &quot;-&quot;??_);_(@_)"/>
    <numFmt numFmtId="167" formatCode="0.0"/>
    <numFmt numFmtId="168" formatCode="0.0%"/>
    <numFmt numFmtId="169" formatCode="_-* #,##0_-;\-* #,##0_-;_-* &quot;-&quot;??_-;_-@_-"/>
    <numFmt numFmtId="170" formatCode="_(* #,##0_);_(* \(#,##0\);_(* &quot;-&quot;??_);_(@_)"/>
    <numFmt numFmtId="171" formatCode="_(* #,##0.0_);_(* \(#,##0.0\);_(* &quot;-&quot;??_);_(@_)"/>
    <numFmt numFmtId="172" formatCode="_-&quot;R$&quot;\ * #,##0_-;\-&quot;R$&quot;\ * #,##0_-;_-&quot;R$&quot;\ * &quot;-&quot;??_-;_-@_-"/>
    <numFmt numFmtId="173" formatCode="#,##0.0"/>
    <numFmt numFmtId="174" formatCode="&quot;R$&quot;\ 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name val="Calibri"/>
      <family val="2"/>
    </font>
    <font>
      <sz val="12"/>
      <color theme="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Arial Narrow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b/>
      <i/>
      <sz val="12"/>
      <color theme="0" tint="0.79998168889431442"/>
      <name val="Calibri"/>
      <family val="2"/>
      <scheme val="minor"/>
    </font>
    <font>
      <b/>
      <sz val="12"/>
      <color theme="0" tint="0.79998168889431442"/>
      <name val="Calibri"/>
      <family val="2"/>
      <scheme val="minor"/>
    </font>
    <font>
      <sz val="12"/>
      <color theme="0" tint="0.79998168889431442"/>
      <name val="Calibri"/>
      <family val="2"/>
      <scheme val="minor"/>
    </font>
    <font>
      <b/>
      <sz val="12"/>
      <color theme="0" tint="0.79998168889431442"/>
      <name val="Calibri"/>
      <family val="2"/>
    </font>
    <font>
      <b/>
      <sz val="12"/>
      <color theme="6" tint="0.79998168889431442"/>
      <name val="Calibri"/>
      <family val="2"/>
      <scheme val="minor"/>
    </font>
    <font>
      <b/>
      <sz val="12"/>
      <color theme="6" tint="0.79998168889431442"/>
      <name val="Arial Narrow"/>
      <family val="2"/>
    </font>
    <font>
      <sz val="12"/>
      <color theme="6" tint="0.79998168889431442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4"/>
      <color theme="2"/>
      <name val="Calibri"/>
      <family val="2"/>
      <scheme val="minor"/>
    </font>
    <font>
      <b/>
      <sz val="16"/>
      <color rgb="FFFFFFFF"/>
      <name val="Calibri"/>
      <family val="2"/>
      <scheme val="minor"/>
    </font>
    <font>
      <b/>
      <u/>
      <sz val="16"/>
      <color rgb="FFFFFFFF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2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darkGrid">
        <bgColor theme="6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theme="1" tint="0.79998168889431442"/>
      </right>
      <top style="medium">
        <color theme="1" tint="0.79998168889431442"/>
      </top>
      <bottom style="medium">
        <color theme="1" tint="0.79998168889431442"/>
      </bottom>
      <diagonal/>
    </border>
    <border>
      <left/>
      <right/>
      <top style="medium">
        <color theme="1" tint="0.79998168889431442"/>
      </top>
      <bottom style="medium">
        <color theme="1" tint="0.79998168889431442"/>
      </bottom>
      <diagonal/>
    </border>
    <border>
      <left style="medium">
        <color theme="1" tint="0.79998168889431442"/>
      </left>
      <right/>
      <top style="medium">
        <color theme="1" tint="0.79998168889431442"/>
      </top>
      <bottom style="medium">
        <color theme="1" tint="0.79998168889431442"/>
      </bottom>
      <diagonal/>
    </border>
    <border>
      <left style="thin">
        <color theme="0" tint="0.79998168889431442"/>
      </left>
      <right style="thin">
        <color theme="0" tint="0.79998168889431442"/>
      </right>
      <top style="thin">
        <color theme="0" tint="0.79998168889431442"/>
      </top>
      <bottom style="thin">
        <color theme="0" tint="0.79998168889431442"/>
      </bottom>
      <diagonal/>
    </border>
    <border>
      <left/>
      <right style="thin">
        <color theme="0" tint="0.79998168889431442"/>
      </right>
      <top/>
      <bottom/>
      <diagonal/>
    </border>
    <border>
      <left style="thin">
        <color theme="0" tint="0.79998168889431442"/>
      </left>
      <right/>
      <top/>
      <bottom/>
      <diagonal/>
    </border>
    <border>
      <left/>
      <right style="thin">
        <color theme="0" tint="0.79998168889431442"/>
      </right>
      <top style="thin">
        <color theme="0" tint="0.79998168889431442"/>
      </top>
      <bottom/>
      <diagonal/>
    </border>
    <border>
      <left style="thin">
        <color theme="0" tint="0.79998168889431442"/>
      </left>
      <right/>
      <top style="thin">
        <color theme="0" tint="0.79998168889431442"/>
      </top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172" fontId="4" fillId="0" borderId="0" applyBorder="0" applyProtection="0"/>
  </cellStyleXfs>
  <cellXfs count="379">
    <xf numFmtId="0" fontId="0" fillId="0" borderId="0" xfId="0"/>
    <xf numFmtId="0" fontId="3" fillId="0" borderId="0" xfId="0" applyFont="1"/>
    <xf numFmtId="0" fontId="8" fillId="2" borderId="0" xfId="0" applyFont="1" applyFill="1"/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166" fontId="3" fillId="0" borderId="0" xfId="2" applyFont="1" applyAlignment="1">
      <alignment horizontal="center"/>
    </xf>
    <xf numFmtId="0" fontId="3" fillId="0" borderId="0" xfId="11" applyFont="1" applyAlignment="1">
      <alignment horizontal="left" vertical="center"/>
    </xf>
    <xf numFmtId="0" fontId="3" fillId="2" borderId="0" xfId="0" applyFont="1" applyFill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9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4" fontId="2" fillId="0" borderId="13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 applyProtection="1">
      <alignment wrapText="1"/>
      <protection locked="0"/>
    </xf>
    <xf numFmtId="168" fontId="2" fillId="0" borderId="13" xfId="0" applyNumberFormat="1" applyFont="1" applyBorder="1" applyAlignment="1">
      <alignment horizontal="center" vertical="center" wrapText="1"/>
    </xf>
    <xf numFmtId="168" fontId="3" fillId="0" borderId="0" xfId="0" applyNumberFormat="1" applyFont="1" applyAlignment="1" applyProtection="1">
      <alignment wrapText="1"/>
      <protection locked="0"/>
    </xf>
    <xf numFmtId="165" fontId="18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11" applyFont="1" applyAlignment="1">
      <alignment vertical="center"/>
    </xf>
    <xf numFmtId="3" fontId="11" fillId="0" borderId="0" xfId="11" applyNumberFormat="1" applyFont="1" applyAlignment="1">
      <alignment vertical="center"/>
    </xf>
    <xf numFmtId="166" fontId="11" fillId="0" borderId="0" xfId="2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3" fillId="0" borderId="0" xfId="0" quotePrefix="1" applyFont="1" applyAlignment="1" applyProtection="1">
      <alignment vertical="center"/>
      <protection locked="0"/>
    </xf>
    <xf numFmtId="3" fontId="11" fillId="0" borderId="0" xfId="11" applyNumberFormat="1" applyFont="1" applyAlignment="1" applyProtection="1">
      <alignment vertical="center"/>
      <protection locked="0"/>
    </xf>
    <xf numFmtId="166" fontId="20" fillId="0" borderId="0" xfId="2" applyFont="1" applyAlignment="1" applyProtection="1">
      <alignment horizontal="center" vertical="center"/>
      <protection locked="0"/>
    </xf>
    <xf numFmtId="3" fontId="20" fillId="0" borderId="0" xfId="11" applyNumberFormat="1" applyFont="1" applyAlignment="1" applyProtection="1">
      <alignment horizontal="center" vertical="center"/>
      <protection locked="0"/>
    </xf>
    <xf numFmtId="165" fontId="8" fillId="0" borderId="0" xfId="2" applyNumberFormat="1" applyFont="1" applyAlignment="1" applyProtection="1">
      <alignment horizontal="right" vertical="center"/>
      <protection locked="0"/>
    </xf>
    <xf numFmtId="0" fontId="11" fillId="0" borderId="0" xfId="11" applyFont="1" applyAlignment="1" applyProtection="1">
      <alignment vertical="center"/>
      <protection locked="0"/>
    </xf>
    <xf numFmtId="166" fontId="11" fillId="0" borderId="0" xfId="2" applyFont="1" applyAlignment="1" applyProtection="1">
      <alignment vertical="center"/>
      <protection locked="0"/>
    </xf>
    <xf numFmtId="166" fontId="8" fillId="0" borderId="0" xfId="2" applyFont="1" applyAlignment="1" applyProtection="1">
      <alignment vertical="center"/>
      <protection locked="0"/>
    </xf>
    <xf numFmtId="165" fontId="13" fillId="0" borderId="0" xfId="11" applyNumberFormat="1" applyFont="1" applyAlignment="1" applyProtection="1">
      <alignment horizontal="right" vertical="center"/>
      <protection locked="0"/>
    </xf>
    <xf numFmtId="0" fontId="8" fillId="0" borderId="1" xfId="11" applyFont="1" applyBorder="1" applyAlignment="1" applyProtection="1">
      <alignment vertical="center" wrapText="1" readingOrder="1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1" fillId="0" borderId="0" xfId="11" applyFont="1" applyAlignment="1" applyProtection="1">
      <alignment horizontal="center" vertical="center" readingOrder="1"/>
      <protection locked="0"/>
    </xf>
    <xf numFmtId="0" fontId="11" fillId="0" borderId="0" xfId="11" applyFont="1" applyAlignment="1">
      <alignment horizontal="center" vertical="center" readingOrder="1"/>
    </xf>
    <xf numFmtId="168" fontId="3" fillId="0" borderId="0" xfId="1" applyNumberFormat="1" applyFont="1" applyAlignment="1" applyProtection="1">
      <alignment vertical="center"/>
      <protection locked="0"/>
    </xf>
    <xf numFmtId="166" fontId="3" fillId="0" borderId="0" xfId="2" applyFont="1"/>
    <xf numFmtId="166" fontId="3" fillId="0" borderId="0" xfId="2" applyFont="1" applyFill="1" applyBorder="1"/>
    <xf numFmtId="170" fontId="3" fillId="0" borderId="0" xfId="2" applyNumberFormat="1" applyFont="1"/>
    <xf numFmtId="49" fontId="3" fillId="0" borderId="0" xfId="0" applyNumberFormat="1" applyFont="1"/>
    <xf numFmtId="49" fontId="3" fillId="0" borderId="0" xfId="0" applyNumberFormat="1" applyFont="1" applyAlignment="1">
      <alignment horizontal="center" vertical="center" wrapText="1"/>
    </xf>
    <xf numFmtId="166" fontId="8" fillId="0" borderId="0" xfId="2" applyFont="1"/>
    <xf numFmtId="170" fontId="3" fillId="0" borderId="0" xfId="2" applyNumberFormat="1" applyFont="1" applyFill="1" applyBorder="1"/>
    <xf numFmtId="43" fontId="3" fillId="0" borderId="0" xfId="0" applyNumberFormat="1" applyFont="1"/>
    <xf numFmtId="0" fontId="9" fillId="4" borderId="1" xfId="0" applyFont="1" applyFill="1" applyBorder="1" applyAlignment="1">
      <alignment horizontal="center" vertical="center" wrapText="1"/>
    </xf>
    <xf numFmtId="3" fontId="23" fillId="3" borderId="17" xfId="11" applyNumberFormat="1" applyFont="1" applyFill="1" applyBorder="1" applyAlignment="1" applyProtection="1">
      <alignment horizontal="center" vertical="center" wrapText="1"/>
      <protection locked="0"/>
    </xf>
    <xf numFmtId="166" fontId="23" fillId="3" borderId="17" xfId="2" applyFont="1" applyFill="1" applyBorder="1" applyAlignment="1" applyProtection="1">
      <alignment horizontal="center" vertical="center" wrapText="1"/>
      <protection locked="0"/>
    </xf>
    <xf numFmtId="3" fontId="2" fillId="6" borderId="1" xfId="11" applyNumberFormat="1" applyFont="1" applyFill="1" applyBorder="1" applyAlignment="1" applyProtection="1">
      <alignment horizontal="center" vertical="center" wrapText="1"/>
      <protection locked="0"/>
    </xf>
    <xf numFmtId="165" fontId="2" fillId="6" borderId="1" xfId="2" applyNumberFormat="1" applyFont="1" applyFill="1" applyBorder="1" applyAlignment="1" applyProtection="1">
      <alignment horizontal="right" vertical="center" wrapText="1"/>
      <protection locked="0"/>
    </xf>
    <xf numFmtId="4" fontId="2" fillId="6" borderId="1" xfId="13" applyNumberFormat="1" applyFont="1" applyFill="1" applyBorder="1" applyAlignment="1" applyProtection="1">
      <alignment horizontal="right" vertical="center" wrapText="1"/>
      <protection locked="0"/>
    </xf>
    <xf numFmtId="3" fontId="23" fillId="3" borderId="1" xfId="2" applyNumberFormat="1" applyFont="1" applyFill="1" applyBorder="1" applyAlignment="1" applyProtection="1">
      <alignment horizontal="center" vertical="center"/>
      <protection locked="0"/>
    </xf>
    <xf numFmtId="165" fontId="23" fillId="3" borderId="1" xfId="2" applyNumberFormat="1" applyFont="1" applyFill="1" applyBorder="1" applyAlignment="1" applyProtection="1">
      <alignment horizontal="right" vertical="center"/>
      <protection locked="0"/>
    </xf>
    <xf numFmtId="4" fontId="23" fillId="3" borderId="1" xfId="11" applyNumberFormat="1" applyFont="1" applyFill="1" applyBorder="1" applyAlignment="1" applyProtection="1">
      <alignment horizontal="right" vertical="center"/>
      <protection locked="0"/>
    </xf>
    <xf numFmtId="0" fontId="3" fillId="7" borderId="19" xfId="11" applyFont="1" applyFill="1" applyBorder="1" applyAlignment="1">
      <alignment horizontal="left" vertical="center"/>
    </xf>
    <xf numFmtId="0" fontId="3" fillId="7" borderId="20" xfId="11" applyFont="1" applyFill="1" applyBorder="1" applyAlignment="1">
      <alignment horizontal="left" vertical="center"/>
    </xf>
    <xf numFmtId="0" fontId="3" fillId="7" borderId="21" xfId="11" applyFont="1" applyFill="1" applyBorder="1" applyAlignment="1">
      <alignment horizontal="left" vertical="center"/>
    </xf>
    <xf numFmtId="0" fontId="23" fillId="3" borderId="0" xfId="11" applyFont="1" applyFill="1" applyAlignment="1">
      <alignment horizontal="center" vertical="center"/>
    </xf>
    <xf numFmtId="0" fontId="24" fillId="3" borderId="0" xfId="11" applyFont="1" applyFill="1" applyAlignment="1">
      <alignment horizontal="center" vertical="center"/>
    </xf>
    <xf numFmtId="0" fontId="3" fillId="5" borderId="0" xfId="0" applyFont="1" applyFill="1"/>
    <xf numFmtId="0" fontId="2" fillId="5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5" borderId="0" xfId="0" applyFont="1" applyFill="1" applyAlignment="1">
      <alignment wrapText="1"/>
    </xf>
    <xf numFmtId="0" fontId="3" fillId="0" borderId="0" xfId="0" applyFont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3" fontId="8" fillId="0" borderId="1" xfId="1" applyNumberFormat="1" applyFont="1" applyFill="1" applyBorder="1" applyAlignment="1" applyProtection="1">
      <alignment horizontal="center" vertical="center"/>
      <protection locked="0"/>
    </xf>
    <xf numFmtId="3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3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3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3" applyFont="1" applyBorder="1" applyAlignment="1" applyProtection="1">
      <alignment horizontal="center" wrapText="1"/>
      <protection locked="0"/>
    </xf>
    <xf numFmtId="0" fontId="8" fillId="0" borderId="1" xfId="3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3" fillId="3" borderId="1" xfId="0" applyFont="1" applyFill="1" applyBorder="1" applyAlignment="1" applyProtection="1">
      <alignment horizontal="left" vertical="center" wrapText="1"/>
      <protection locked="0"/>
    </xf>
    <xf numFmtId="0" fontId="23" fillId="3" borderId="1" xfId="0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left" wrapText="1"/>
      <protection locked="0"/>
    </xf>
    <xf numFmtId="4" fontId="7" fillId="0" borderId="0" xfId="0" applyNumberFormat="1" applyFont="1" applyAlignment="1" applyProtection="1">
      <alignment horizontal="left" wrapText="1"/>
      <protection locked="0"/>
    </xf>
    <xf numFmtId="168" fontId="7" fillId="0" borderId="0" xfId="0" applyNumberFormat="1" applyFont="1" applyAlignment="1" applyProtection="1">
      <alignment horizontal="left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8" fontId="3" fillId="0" borderId="1" xfId="2" applyNumberFormat="1" applyFont="1" applyFill="1" applyBorder="1" applyAlignment="1" applyProtection="1">
      <alignment vertical="center" wrapText="1"/>
      <protection locked="0"/>
    </xf>
    <xf numFmtId="8" fontId="3" fillId="0" borderId="1" xfId="2" applyNumberFormat="1" applyFont="1" applyFill="1" applyBorder="1" applyAlignment="1" applyProtection="1">
      <alignment vertical="center" wrapText="1"/>
    </xf>
    <xf numFmtId="168" fontId="3" fillId="0" borderId="1" xfId="2" applyNumberFormat="1" applyFont="1" applyFill="1" applyBorder="1" applyAlignment="1" applyProtection="1">
      <alignment vertical="center" wrapText="1"/>
    </xf>
    <xf numFmtId="0" fontId="23" fillId="3" borderId="1" xfId="0" applyFont="1" applyFill="1" applyBorder="1" applyAlignment="1">
      <alignment horizontal="center" vertical="center" wrapText="1"/>
    </xf>
    <xf numFmtId="41" fontId="23" fillId="3" borderId="1" xfId="0" applyNumberFormat="1" applyFont="1" applyFill="1" applyBorder="1" applyAlignment="1">
      <alignment horizontal="center" vertical="center" wrapText="1"/>
    </xf>
    <xf numFmtId="8" fontId="23" fillId="3" borderId="1" xfId="2" applyNumberFormat="1" applyFont="1" applyFill="1" applyBorder="1" applyAlignment="1" applyProtection="1">
      <alignment vertical="center" wrapText="1"/>
    </xf>
    <xf numFmtId="7" fontId="23" fillId="3" borderId="1" xfId="2" applyNumberFormat="1" applyFont="1" applyFill="1" applyBorder="1" applyAlignment="1" applyProtection="1">
      <alignment vertical="center" wrapText="1"/>
    </xf>
    <xf numFmtId="168" fontId="23" fillId="3" borderId="1" xfId="2" applyNumberFormat="1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vertical="center" wrapText="1"/>
      <protection locked="0"/>
    </xf>
    <xf numFmtId="165" fontId="2" fillId="0" borderId="1" xfId="2" applyNumberFormat="1" applyFont="1" applyFill="1" applyBorder="1" applyAlignment="1" applyProtection="1">
      <alignment vertical="center" wrapText="1"/>
    </xf>
    <xf numFmtId="168" fontId="2" fillId="0" borderId="1" xfId="2" applyNumberFormat="1" applyFont="1" applyFill="1" applyBorder="1" applyAlignment="1" applyProtection="1">
      <alignment vertical="center" wrapText="1"/>
    </xf>
    <xf numFmtId="168" fontId="2" fillId="0" borderId="1" xfId="1" applyNumberFormat="1" applyFont="1" applyFill="1" applyBorder="1" applyAlignment="1" applyProtection="1">
      <alignment vertical="center" wrapText="1"/>
    </xf>
    <xf numFmtId="165" fontId="3" fillId="0" borderId="1" xfId="2" applyNumberFormat="1" applyFont="1" applyFill="1" applyBorder="1" applyAlignment="1" applyProtection="1">
      <alignment vertical="center" wrapText="1"/>
      <protection locked="0"/>
    </xf>
    <xf numFmtId="8" fontId="3" fillId="0" borderId="1" xfId="0" applyNumberFormat="1" applyFont="1" applyBorder="1" applyAlignment="1" applyProtection="1">
      <alignment vertical="center" wrapText="1"/>
      <protection locked="0"/>
    </xf>
    <xf numFmtId="8" fontId="2" fillId="0" borderId="1" xfId="0" applyNumberFormat="1" applyFont="1" applyBorder="1" applyAlignment="1">
      <alignment vertical="center" wrapText="1"/>
    </xf>
    <xf numFmtId="165" fontId="2" fillId="0" borderId="1" xfId="2" applyNumberFormat="1" applyFont="1" applyFill="1" applyBorder="1" applyAlignment="1" applyProtection="1">
      <alignment vertical="center"/>
    </xf>
    <xf numFmtId="8" fontId="2" fillId="0" borderId="1" xfId="0" applyNumberFormat="1" applyFont="1" applyBorder="1" applyAlignment="1" applyProtection="1">
      <alignment vertical="center"/>
      <protection locked="0"/>
    </xf>
    <xf numFmtId="8" fontId="2" fillId="0" borderId="1" xfId="2" applyNumberFormat="1" applyFont="1" applyFill="1" applyBorder="1" applyAlignment="1">
      <alignment vertical="center" wrapText="1"/>
    </xf>
    <xf numFmtId="165" fontId="23" fillId="3" borderId="1" xfId="2" applyNumberFormat="1" applyFont="1" applyFill="1" applyBorder="1" applyAlignment="1" applyProtection="1">
      <alignment vertical="center" wrapText="1"/>
    </xf>
    <xf numFmtId="168" fontId="23" fillId="3" borderId="1" xfId="1" applyNumberFormat="1" applyFont="1" applyFill="1" applyBorder="1" applyAlignment="1" applyProtection="1">
      <alignment vertical="center" wrapText="1"/>
    </xf>
    <xf numFmtId="8" fontId="23" fillId="3" borderId="1" xfId="0" applyNumberFormat="1" applyFont="1" applyFill="1" applyBorder="1" applyAlignment="1">
      <alignment vertical="center" wrapText="1"/>
    </xf>
    <xf numFmtId="0" fontId="24" fillId="0" borderId="0" xfId="0" applyFont="1" applyAlignment="1" applyProtection="1">
      <alignment horizontal="center" vertical="center"/>
      <protection locked="0"/>
    </xf>
    <xf numFmtId="0" fontId="25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65" fontId="2" fillId="0" borderId="1" xfId="2" applyNumberFormat="1" applyFont="1" applyFill="1" applyBorder="1" applyAlignment="1" applyProtection="1">
      <alignment vertical="center" wrapText="1"/>
      <protection locked="0"/>
    </xf>
    <xf numFmtId="39" fontId="16" fillId="3" borderId="1" xfId="0" applyNumberFormat="1" applyFont="1" applyFill="1" applyBorder="1" applyAlignment="1">
      <alignment vertical="center"/>
    </xf>
    <xf numFmtId="164" fontId="16" fillId="3" borderId="1" xfId="2" applyNumberFormat="1" applyFont="1" applyFill="1" applyBorder="1" applyAlignment="1" applyProtection="1">
      <alignment vertical="center"/>
    </xf>
    <xf numFmtId="168" fontId="16" fillId="3" borderId="1" xfId="2" applyNumberFormat="1" applyFont="1" applyFill="1" applyBorder="1" applyAlignment="1" applyProtection="1">
      <alignment vertical="center"/>
    </xf>
    <xf numFmtId="165" fontId="12" fillId="0" borderId="1" xfId="2" applyNumberFormat="1" applyFont="1" applyFill="1" applyBorder="1" applyAlignment="1" applyProtection="1">
      <alignment horizontal="right" vertical="center" wrapText="1"/>
    </xf>
    <xf numFmtId="165" fontId="3" fillId="0" borderId="0" xfId="0" applyNumberFormat="1" applyFont="1" applyAlignment="1" applyProtection="1">
      <alignment vertical="center"/>
      <protection locked="0"/>
    </xf>
    <xf numFmtId="168" fontId="12" fillId="0" borderId="1" xfId="1" applyNumberFormat="1" applyFont="1" applyFill="1" applyBorder="1" applyAlignment="1" applyProtection="1">
      <alignment horizontal="right" vertical="center" wrapText="1"/>
    </xf>
    <xf numFmtId="0" fontId="25" fillId="3" borderId="1" xfId="0" applyFont="1" applyFill="1" applyBorder="1" applyAlignment="1">
      <alignment vertical="center" wrapText="1"/>
    </xf>
    <xf numFmtId="0" fontId="25" fillId="3" borderId="1" xfId="0" applyFont="1" applyFill="1" applyBorder="1" applyAlignment="1">
      <alignment horizontal="left" vertical="center" wrapText="1"/>
    </xf>
    <xf numFmtId="164" fontId="25" fillId="3" borderId="1" xfId="2" applyNumberFormat="1" applyFont="1" applyFill="1" applyBorder="1" applyAlignment="1" applyProtection="1">
      <alignment horizontal="right" vertical="center" wrapText="1"/>
    </xf>
    <xf numFmtId="165" fontId="2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2" fillId="0" borderId="1" xfId="0" applyNumberFormat="1" applyFont="1" applyBorder="1" applyAlignment="1">
      <alignment horizontal="right" vertical="center" wrapText="1"/>
    </xf>
    <xf numFmtId="168" fontId="2" fillId="0" borderId="1" xfId="2" applyNumberFormat="1" applyFont="1" applyFill="1" applyBorder="1" applyAlignment="1" applyProtection="1">
      <alignment horizontal="right" vertical="center" wrapText="1"/>
    </xf>
    <xf numFmtId="165" fontId="2" fillId="0" borderId="1" xfId="0" applyNumberFormat="1" applyFont="1" applyBorder="1" applyAlignment="1" applyProtection="1">
      <alignment horizontal="right" vertical="center" wrapText="1"/>
      <protection locked="0"/>
    </xf>
    <xf numFmtId="165" fontId="2" fillId="0" borderId="1" xfId="2" applyNumberFormat="1" applyFont="1" applyFill="1" applyBorder="1" applyAlignment="1" applyProtection="1">
      <alignment horizontal="right" vertical="center" wrapText="1"/>
    </xf>
    <xf numFmtId="41" fontId="2" fillId="0" borderId="0" xfId="0" applyNumberFormat="1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169" fontId="2" fillId="0" borderId="0" xfId="2" applyNumberFormat="1" applyFont="1" applyFill="1" applyBorder="1" applyAlignment="1" applyProtection="1">
      <alignment vertical="center" wrapText="1"/>
      <protection locked="0"/>
    </xf>
    <xf numFmtId="41" fontId="2" fillId="0" borderId="1" xfId="0" applyNumberFormat="1" applyFont="1" applyBorder="1" applyAlignment="1">
      <alignment horizontal="center" vertical="center" wrapText="1"/>
    </xf>
    <xf numFmtId="168" fontId="2" fillId="0" borderId="1" xfId="1" applyNumberFormat="1" applyFont="1" applyFill="1" applyBorder="1" applyAlignment="1" applyProtection="1">
      <alignment horizontal="right" vertical="center" wrapText="1"/>
    </xf>
    <xf numFmtId="171" fontId="2" fillId="0" borderId="1" xfId="2" applyNumberFormat="1" applyFont="1" applyFill="1" applyBorder="1" applyAlignment="1" applyProtection="1">
      <alignment horizontal="right" vertical="center" wrapText="1"/>
    </xf>
    <xf numFmtId="165" fontId="2" fillId="0" borderId="1" xfId="1" applyNumberFormat="1" applyFont="1" applyFill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center" vertical="center" textRotation="90"/>
      <protection locked="0"/>
    </xf>
    <xf numFmtId="169" fontId="2" fillId="0" borderId="0" xfId="2" applyNumberFormat="1" applyFont="1" applyFill="1" applyBorder="1" applyAlignment="1" applyProtection="1">
      <alignment horizontal="left" vertical="center" wrapText="1"/>
      <protection locked="0"/>
    </xf>
    <xf numFmtId="166" fontId="2" fillId="0" borderId="0" xfId="2" applyFont="1" applyFill="1" applyBorder="1" applyAlignment="1" applyProtection="1">
      <alignment horizontal="left" vertical="center" wrapText="1"/>
      <protection locked="0"/>
    </xf>
    <xf numFmtId="165" fontId="23" fillId="3" borderId="1" xfId="2" applyNumberFormat="1" applyFont="1" applyFill="1" applyBorder="1" applyAlignment="1" applyProtection="1">
      <alignment horizontal="right" vertical="center" wrapText="1"/>
    </xf>
    <xf numFmtId="168" fontId="23" fillId="3" borderId="1" xfId="1" applyNumberFormat="1" applyFont="1" applyFill="1" applyBorder="1" applyAlignment="1" applyProtection="1">
      <alignment horizontal="right" vertical="center" wrapText="1"/>
    </xf>
    <xf numFmtId="0" fontId="21" fillId="0" borderId="0" xfId="0" applyFont="1" applyProtection="1"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166" fontId="28" fillId="0" borderId="0" xfId="0" applyNumberFormat="1" applyFont="1" applyAlignment="1" applyProtection="1">
      <alignment horizontal="right" vertical="center" wrapText="1"/>
      <protection locked="0"/>
    </xf>
    <xf numFmtId="165" fontId="18" fillId="0" borderId="0" xfId="0" applyNumberFormat="1" applyFont="1" applyAlignment="1" applyProtection="1">
      <alignment horizontal="right" vertical="center" wrapText="1"/>
      <protection locked="0"/>
    </xf>
    <xf numFmtId="166" fontId="18" fillId="0" borderId="0" xfId="0" applyNumberFormat="1" applyFont="1" applyAlignment="1" applyProtection="1">
      <alignment horizontal="right" vertical="center" wrapText="1"/>
      <protection locked="0"/>
    </xf>
    <xf numFmtId="0" fontId="8" fillId="0" borderId="1" xfId="0" applyFont="1" applyBorder="1" applyAlignment="1">
      <alignment horizontal="left" vertical="center" wrapText="1"/>
    </xf>
    <xf numFmtId="165" fontId="26" fillId="3" borderId="1" xfId="2" applyNumberFormat="1" applyFont="1" applyFill="1" applyBorder="1" applyAlignment="1" applyProtection="1">
      <alignment horizontal="right" vertical="center" wrapText="1"/>
    </xf>
    <xf numFmtId="168" fontId="26" fillId="3" borderId="1" xfId="2" applyNumberFormat="1" applyFont="1" applyFill="1" applyBorder="1" applyAlignment="1" applyProtection="1">
      <alignment horizontal="right" vertical="center" wrapText="1"/>
    </xf>
    <xf numFmtId="165" fontId="8" fillId="8" borderId="1" xfId="2" applyNumberFormat="1" applyFont="1" applyFill="1" applyBorder="1" applyAlignment="1" applyProtection="1">
      <alignment horizontal="right" vertical="center" wrapText="1"/>
    </xf>
    <xf numFmtId="165" fontId="18" fillId="8" borderId="1" xfId="2" applyNumberFormat="1" applyFont="1" applyFill="1" applyBorder="1" applyAlignment="1" applyProtection="1">
      <alignment horizontal="right" vertical="center" wrapText="1"/>
    </xf>
    <xf numFmtId="168" fontId="18" fillId="8" borderId="1" xfId="2" applyNumberFormat="1" applyFont="1" applyFill="1" applyBorder="1" applyAlignment="1" applyProtection="1">
      <alignment horizontal="right" vertical="center" wrapText="1"/>
    </xf>
    <xf numFmtId="0" fontId="23" fillId="3" borderId="1" xfId="0" applyFont="1" applyFill="1" applyBorder="1" applyAlignment="1">
      <alignment horizontal="center" vertical="center"/>
    </xf>
    <xf numFmtId="166" fontId="3" fillId="0" borderId="1" xfId="2" applyFont="1" applyBorder="1" applyAlignment="1">
      <alignment horizontal="center"/>
    </xf>
    <xf numFmtId="166" fontId="3" fillId="9" borderId="1" xfId="2" applyFont="1" applyFill="1" applyBorder="1"/>
    <xf numFmtId="170" fontId="3" fillId="0" borderId="1" xfId="2" applyNumberFormat="1" applyFont="1" applyBorder="1" applyAlignment="1">
      <alignment horizontal="center"/>
    </xf>
    <xf numFmtId="166" fontId="26" fillId="3" borderId="1" xfId="2" applyFont="1" applyFill="1" applyBorder="1" applyAlignment="1">
      <alignment horizontal="center" vertical="center" wrapText="1"/>
    </xf>
    <xf numFmtId="3" fontId="3" fillId="0" borderId="1" xfId="2" applyNumberFormat="1" applyFont="1" applyBorder="1" applyAlignment="1">
      <alignment horizontal="center"/>
    </xf>
    <xf numFmtId="168" fontId="3" fillId="0" borderId="1" xfId="2" applyNumberFormat="1" applyFont="1" applyBorder="1" applyAlignment="1">
      <alignment horizontal="center"/>
    </xf>
    <xf numFmtId="3" fontId="3" fillId="0" borderId="1" xfId="2" applyNumberFormat="1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6" fontId="2" fillId="5" borderId="1" xfId="2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6" fontId="3" fillId="5" borderId="1" xfId="2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>
      <alignment horizontal="center" vertical="center" wrapText="1"/>
    </xf>
    <xf numFmtId="166" fontId="2" fillId="5" borderId="1" xfId="2" applyFont="1" applyFill="1" applyBorder="1" applyAlignment="1" applyProtection="1">
      <alignment horizontal="center" vertical="center" wrapText="1"/>
      <protection locked="0"/>
    </xf>
    <xf numFmtId="166" fontId="2" fillId="12" borderId="1" xfId="2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>
      <alignment horizontal="center" vertical="center" wrapText="1"/>
    </xf>
    <xf numFmtId="170" fontId="3" fillId="11" borderId="1" xfId="2" applyNumberFormat="1" applyFont="1" applyFill="1" applyBorder="1" applyAlignment="1" applyProtection="1">
      <alignment horizontal="right" vertical="center" wrapText="1"/>
      <protection locked="0"/>
    </xf>
    <xf numFmtId="168" fontId="3" fillId="11" borderId="1" xfId="2" applyNumberFormat="1" applyFont="1" applyFill="1" applyBorder="1" applyAlignment="1" applyProtection="1">
      <alignment horizontal="right" vertical="center" wrapText="1"/>
      <protection locked="0"/>
    </xf>
    <xf numFmtId="170" fontId="3" fillId="11" borderId="1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horizontal="center"/>
    </xf>
    <xf numFmtId="166" fontId="3" fillId="0" borderId="0" xfId="2" applyFont="1" applyFill="1" applyBorder="1" applyAlignment="1">
      <alignment horizontal="center"/>
    </xf>
    <xf numFmtId="166" fontId="13" fillId="0" borderId="0" xfId="2" applyFont="1" applyFill="1" applyBorder="1"/>
    <xf numFmtId="166" fontId="3" fillId="0" borderId="0" xfId="2" applyFont="1" applyFill="1" applyBorder="1" applyAlignment="1">
      <alignment vertical="center" wrapText="1"/>
    </xf>
    <xf numFmtId="3" fontId="3" fillId="0" borderId="0" xfId="2" applyNumberFormat="1" applyFont="1" applyFill="1" applyBorder="1"/>
    <xf numFmtId="168" fontId="3" fillId="0" borderId="0" xfId="2" applyNumberFormat="1" applyFont="1" applyFill="1" applyBorder="1"/>
    <xf numFmtId="171" fontId="3" fillId="0" borderId="0" xfId="2" applyNumberFormat="1" applyFont="1" applyFill="1" applyBorder="1"/>
    <xf numFmtId="0" fontId="7" fillId="0" borderId="0" xfId="0" applyFont="1" applyAlignment="1">
      <alignment horizontal="center" vertical="center"/>
    </xf>
    <xf numFmtId="0" fontId="8" fillId="0" borderId="0" xfId="0" applyFont="1"/>
    <xf numFmtId="166" fontId="30" fillId="0" borderId="0" xfId="2" applyFont="1"/>
    <xf numFmtId="166" fontId="30" fillId="0" borderId="0" xfId="2" applyFont="1" applyFill="1" applyBorder="1"/>
    <xf numFmtId="49" fontId="30" fillId="0" borderId="0" xfId="2" applyNumberFormat="1" applyFont="1"/>
    <xf numFmtId="49" fontId="30" fillId="0" borderId="0" xfId="2" applyNumberFormat="1" applyFont="1" applyFill="1" applyBorder="1"/>
    <xf numFmtId="170" fontId="29" fillId="3" borderId="1" xfId="2" applyNumberFormat="1" applyFont="1" applyFill="1" applyBorder="1" applyAlignment="1">
      <alignment horizontal="center" vertical="center"/>
    </xf>
    <xf numFmtId="49" fontId="29" fillId="3" borderId="1" xfId="2" applyNumberFormat="1" applyFont="1" applyFill="1" applyBorder="1" applyAlignment="1">
      <alignment horizontal="center" vertical="center" wrapText="1"/>
    </xf>
    <xf numFmtId="49" fontId="30" fillId="0" borderId="0" xfId="2" applyNumberFormat="1" applyFont="1" applyAlignment="1">
      <alignment horizontal="center" vertical="center" wrapText="1"/>
    </xf>
    <xf numFmtId="49" fontId="30" fillId="0" borderId="0" xfId="2" applyNumberFormat="1" applyFont="1" applyFill="1" applyBorder="1" applyAlignment="1">
      <alignment horizontal="center" vertical="center" wrapText="1"/>
    </xf>
    <xf numFmtId="166" fontId="29" fillId="3" borderId="1" xfId="2" applyFont="1" applyFill="1" applyBorder="1" applyAlignment="1">
      <alignment horizontal="center" vertical="center" wrapText="1"/>
    </xf>
    <xf numFmtId="3" fontId="29" fillId="3" borderId="1" xfId="2" applyNumberFormat="1" applyFont="1" applyFill="1" applyBorder="1" applyAlignment="1">
      <alignment horizontal="center" vertical="center" wrapText="1"/>
    </xf>
    <xf numFmtId="168" fontId="29" fillId="3" borderId="1" xfId="2" applyNumberFormat="1" applyFont="1" applyFill="1" applyBorder="1" applyAlignment="1">
      <alignment horizontal="center" vertical="center" wrapText="1"/>
    </xf>
    <xf numFmtId="170" fontId="29" fillId="3" borderId="1" xfId="2" applyNumberFormat="1" applyFont="1" applyFill="1" applyBorder="1" applyAlignment="1">
      <alignment horizontal="center" vertical="center" wrapText="1"/>
    </xf>
    <xf numFmtId="171" fontId="29" fillId="3" borderId="1" xfId="2" applyNumberFormat="1" applyFont="1" applyFill="1" applyBorder="1" applyAlignment="1">
      <alignment horizontal="center" vertical="center" wrapText="1"/>
    </xf>
    <xf numFmtId="166" fontId="3" fillId="0" borderId="4" xfId="2" applyFont="1" applyBorder="1" applyAlignment="1">
      <alignment horizontal="center"/>
    </xf>
    <xf numFmtId="170" fontId="3" fillId="0" borderId="4" xfId="2" applyNumberFormat="1" applyFont="1" applyBorder="1" applyAlignment="1">
      <alignment horizontal="center"/>
    </xf>
    <xf numFmtId="0" fontId="27" fillId="13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5" fontId="3" fillId="0" borderId="1" xfId="0" applyNumberFormat="1" applyFont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 vertical="center"/>
      <protection locked="0"/>
    </xf>
    <xf numFmtId="0" fontId="13" fillId="0" borderId="0" xfId="0" applyFont="1"/>
    <xf numFmtId="0" fontId="10" fillId="0" borderId="0" xfId="0" applyFont="1" applyAlignment="1">
      <alignment vertical="center"/>
    </xf>
    <xf numFmtId="0" fontId="31" fillId="0" borderId="36" xfId="0" applyFont="1" applyBorder="1" applyAlignment="1">
      <alignment vertical="center" wrapText="1"/>
    </xf>
    <xf numFmtId="14" fontId="32" fillId="0" borderId="36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3" fillId="14" borderId="36" xfId="0" applyFont="1" applyFill="1" applyBorder="1" applyAlignment="1">
      <alignment horizontal="justify" vertical="center" wrapText="1"/>
    </xf>
    <xf numFmtId="0" fontId="33" fillId="14" borderId="36" xfId="0" applyFont="1" applyFill="1" applyBorder="1" applyAlignment="1">
      <alignment horizontal="left" vertical="center" wrapText="1"/>
    </xf>
    <xf numFmtId="0" fontId="15" fillId="0" borderId="0" xfId="0" applyFont="1" applyAlignment="1">
      <alignment vertical="center"/>
    </xf>
    <xf numFmtId="0" fontId="21" fillId="0" borderId="0" xfId="0" applyFont="1"/>
    <xf numFmtId="0" fontId="33" fillId="14" borderId="36" xfId="0" applyFont="1" applyFill="1" applyBorder="1" applyAlignment="1">
      <alignment horizontal="center" vertical="center" wrapText="1"/>
    </xf>
    <xf numFmtId="0" fontId="33" fillId="14" borderId="36" xfId="0" applyFont="1" applyFill="1" applyBorder="1" applyAlignment="1">
      <alignment vertical="center" wrapText="1"/>
    </xf>
    <xf numFmtId="4" fontId="21" fillId="0" borderId="0" xfId="0" applyNumberFormat="1" applyFont="1" applyAlignment="1">
      <alignment vertical="center" wrapText="1"/>
    </xf>
    <xf numFmtId="0" fontId="33" fillId="14" borderId="36" xfId="0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top"/>
      <protection locked="0"/>
    </xf>
    <xf numFmtId="0" fontId="33" fillId="14" borderId="36" xfId="0" applyFont="1" applyFill="1" applyBorder="1" applyAlignment="1">
      <alignment vertical="center" wrapText="1"/>
    </xf>
    <xf numFmtId="0" fontId="33" fillId="14" borderId="36" xfId="0" applyFont="1" applyFill="1" applyBorder="1" applyAlignment="1">
      <alignment vertical="center"/>
    </xf>
    <xf numFmtId="0" fontId="33" fillId="14" borderId="36" xfId="0" applyFont="1" applyFill="1" applyBorder="1" applyAlignment="1">
      <alignment horizontal="left" vertical="center" wrapText="1"/>
    </xf>
    <xf numFmtId="0" fontId="33" fillId="14" borderId="36" xfId="0" applyFont="1" applyFill="1" applyBorder="1" applyAlignment="1">
      <alignment horizontal="center" vertical="center" wrapText="1"/>
    </xf>
    <xf numFmtId="0" fontId="33" fillId="14" borderId="40" xfId="0" applyFont="1" applyFill="1" applyBorder="1" applyAlignment="1">
      <alignment horizontal="center" vertical="center" wrapText="1"/>
    </xf>
    <xf numFmtId="0" fontId="33" fillId="14" borderId="39" xfId="0" applyFont="1" applyFill="1" applyBorder="1" applyAlignment="1">
      <alignment horizontal="center" vertical="center" wrapText="1"/>
    </xf>
    <xf numFmtId="0" fontId="33" fillId="14" borderId="38" xfId="0" applyFont="1" applyFill="1" applyBorder="1" applyAlignment="1">
      <alignment horizontal="center" vertical="center" wrapText="1"/>
    </xf>
    <xf numFmtId="0" fontId="33" fillId="14" borderId="37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left" vertical="center"/>
    </xf>
    <xf numFmtId="0" fontId="31" fillId="0" borderId="35" xfId="0" applyFont="1" applyBorder="1" applyAlignment="1">
      <alignment horizontal="left" vertical="top" wrapText="1"/>
    </xf>
    <xf numFmtId="0" fontId="31" fillId="0" borderId="34" xfId="0" applyFont="1" applyBorder="1" applyAlignment="1">
      <alignment horizontal="left" vertical="top" wrapText="1"/>
    </xf>
    <xf numFmtId="0" fontId="31" fillId="0" borderId="33" xfId="0" applyFont="1" applyBorder="1" applyAlignment="1">
      <alignment horizontal="left" vertical="top" wrapText="1"/>
    </xf>
    <xf numFmtId="0" fontId="29" fillId="14" borderId="35" xfId="0" applyFont="1" applyFill="1" applyBorder="1" applyAlignment="1">
      <alignment horizontal="left" vertical="center"/>
    </xf>
    <xf numFmtId="0" fontId="29" fillId="14" borderId="34" xfId="0" applyFont="1" applyFill="1" applyBorder="1" applyAlignment="1">
      <alignment horizontal="left" vertical="center"/>
    </xf>
    <xf numFmtId="0" fontId="29" fillId="14" borderId="33" xfId="0" applyFont="1" applyFill="1" applyBorder="1" applyAlignment="1">
      <alignment horizontal="left" vertical="center"/>
    </xf>
    <xf numFmtId="0" fontId="33" fillId="14" borderId="36" xfId="0" applyFont="1" applyFill="1" applyBorder="1" applyAlignment="1">
      <alignment horizontal="justify" vertical="justify" wrapText="1"/>
    </xf>
    <xf numFmtId="0" fontId="38" fillId="0" borderId="0" xfId="0" applyFont="1" applyAlignment="1">
      <alignment horizontal="center" vertical="center"/>
    </xf>
    <xf numFmtId="0" fontId="33" fillId="14" borderId="3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7" fillId="0" borderId="36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0" fontId="22" fillId="3" borderId="25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2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3" fillId="0" borderId="27" xfId="0" applyFont="1" applyBorder="1" applyAlignment="1">
      <alignment vertical="center" wrapText="1"/>
    </xf>
    <xf numFmtId="0" fontId="3" fillId="0" borderId="9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horizontal="left" vertical="center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6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9" fontId="29" fillId="3" borderId="1" xfId="1" applyFont="1" applyFill="1" applyBorder="1" applyAlignment="1">
      <alignment horizontal="center" vertical="center"/>
    </xf>
    <xf numFmtId="49" fontId="29" fillId="3" borderId="1" xfId="2" applyNumberFormat="1" applyFont="1" applyFill="1" applyBorder="1" applyAlignment="1">
      <alignment horizontal="center" vertical="center"/>
    </xf>
    <xf numFmtId="170" fontId="26" fillId="3" borderId="0" xfId="2" applyNumberFormat="1" applyFont="1" applyFill="1" applyBorder="1" applyAlignment="1">
      <alignment horizontal="center" vertical="center" wrapText="1"/>
    </xf>
    <xf numFmtId="49" fontId="29" fillId="3" borderId="1" xfId="2" applyNumberFormat="1" applyFont="1" applyFill="1" applyBorder="1" applyAlignment="1">
      <alignment horizontal="center" vertical="center" wrapText="1"/>
    </xf>
    <xf numFmtId="166" fontId="29" fillId="3" borderId="1" xfId="2" applyFont="1" applyFill="1" applyBorder="1" applyAlignment="1">
      <alignment horizontal="center" vertical="center"/>
    </xf>
    <xf numFmtId="9" fontId="29" fillId="3" borderId="16" xfId="1" applyFont="1" applyFill="1" applyBorder="1" applyAlignment="1">
      <alignment horizontal="center" vertical="center"/>
    </xf>
    <xf numFmtId="170" fontId="26" fillId="3" borderId="1" xfId="2" applyNumberFormat="1" applyFont="1" applyFill="1" applyBorder="1" applyAlignment="1">
      <alignment horizontal="center" vertical="center" wrapText="1"/>
    </xf>
    <xf numFmtId="0" fontId="23" fillId="3" borderId="1" xfId="11" applyFont="1" applyFill="1" applyBorder="1" applyAlignment="1" applyProtection="1">
      <alignment horizontal="center" vertical="center" wrapText="1"/>
      <protection locked="0"/>
    </xf>
    <xf numFmtId="41" fontId="23" fillId="3" borderId="1" xfId="11" applyNumberFormat="1" applyFont="1" applyFill="1" applyBorder="1" applyAlignment="1" applyProtection="1">
      <alignment horizontal="center" vertical="center" wrapText="1"/>
      <protection locked="0"/>
    </xf>
    <xf numFmtId="41" fontId="23" fillId="3" borderId="17" xfId="11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11" applyFont="1" applyFill="1" applyBorder="1" applyAlignment="1" applyProtection="1">
      <alignment horizontal="center" vertical="center" readingOrder="1"/>
      <protection locked="0"/>
    </xf>
    <xf numFmtId="0" fontId="23" fillId="3" borderId="1" xfId="11" applyFont="1" applyFill="1" applyBorder="1" applyAlignment="1" applyProtection="1">
      <alignment horizontal="center" vertical="center" wrapText="1" readingOrder="1"/>
      <protection locked="0"/>
    </xf>
    <xf numFmtId="0" fontId="23" fillId="3" borderId="1" xfId="11" applyFont="1" applyFill="1" applyBorder="1" applyAlignment="1" applyProtection="1">
      <alignment horizontal="right" vertical="center"/>
      <protection locked="0"/>
    </xf>
    <xf numFmtId="0" fontId="23" fillId="3" borderId="17" xfId="11" applyFont="1" applyFill="1" applyBorder="1" applyAlignment="1" applyProtection="1">
      <alignment horizontal="center" vertical="center" wrapText="1" readingOrder="1"/>
      <protection locked="0"/>
    </xf>
    <xf numFmtId="0" fontId="23" fillId="3" borderId="5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3" fillId="3" borderId="1" xfId="0" applyFont="1" applyFill="1" applyBorder="1" applyAlignment="1" applyProtection="1">
      <alignment horizontal="left" vertical="center"/>
      <protection locked="0"/>
    </xf>
    <xf numFmtId="168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173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68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1" xfId="1" applyNumberFormat="1" applyFont="1" applyFill="1" applyBorder="1" applyAlignment="1">
      <alignment horizontal="center" vertical="center" wrapText="1"/>
    </xf>
    <xf numFmtId="10" fontId="8" fillId="0" borderId="1" xfId="1" applyNumberFormat="1" applyFont="1" applyFill="1" applyBorder="1" applyAlignment="1">
      <alignment horizontal="center" vertical="center" wrapText="1"/>
    </xf>
    <xf numFmtId="174" fontId="8" fillId="0" borderId="1" xfId="1" applyNumberFormat="1" applyFont="1" applyFill="1" applyBorder="1" applyAlignment="1">
      <alignment horizontal="center" vertical="center" wrapText="1"/>
    </xf>
    <xf numFmtId="4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3" applyFont="1" applyBorder="1" applyAlignment="1" applyProtection="1">
      <alignment horizontal="left" vertical="center" wrapText="1"/>
      <protection locked="0"/>
    </xf>
    <xf numFmtId="167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5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3" fillId="3" borderId="7" xfId="0" applyFont="1" applyFill="1" applyBorder="1" applyAlignment="1" applyProtection="1">
      <alignment horizontal="left" vertical="center" wrapText="1"/>
      <protection locked="0"/>
    </xf>
    <xf numFmtId="0" fontId="23" fillId="3" borderId="6" xfId="0" applyFont="1" applyFill="1" applyBorder="1" applyAlignment="1" applyProtection="1">
      <alignment horizontal="left" vertical="center" wrapText="1"/>
      <protection locked="0"/>
    </xf>
    <xf numFmtId="0" fontId="23" fillId="3" borderId="3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23" fillId="3" borderId="1" xfId="0" applyFont="1" applyFill="1" applyBorder="1" applyAlignment="1" applyProtection="1">
      <alignment horizontal="left" vertical="center" wrapText="1"/>
      <protection locked="0"/>
    </xf>
    <xf numFmtId="4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3" fillId="3" borderId="1" xfId="0" applyFont="1" applyFill="1" applyBorder="1" applyAlignment="1">
      <alignment horizontal="left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23" fillId="3" borderId="2" xfId="0" applyFont="1" applyFill="1" applyBorder="1" applyAlignment="1" applyProtection="1">
      <alignment horizontal="left" vertical="center" wrapText="1"/>
      <protection locked="0"/>
    </xf>
    <xf numFmtId="0" fontId="23" fillId="3" borderId="17" xfId="0" applyFont="1" applyFill="1" applyBorder="1" applyAlignment="1" applyProtection="1">
      <alignment horizontal="left" vertical="center" wrapText="1"/>
      <protection locked="0"/>
    </xf>
    <xf numFmtId="0" fontId="23" fillId="3" borderId="1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left" vertical="center"/>
    </xf>
    <xf numFmtId="0" fontId="23" fillId="3" borderId="1" xfId="0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41" fontId="23" fillId="3" borderId="17" xfId="0" applyNumberFormat="1" applyFont="1" applyFill="1" applyBorder="1" applyAlignment="1">
      <alignment horizontal="center" vertical="center" wrapText="1"/>
    </xf>
    <xf numFmtId="41" fontId="23" fillId="3" borderId="4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 applyProtection="1">
      <alignment horizontal="left" vertical="center"/>
      <protection locked="0"/>
    </xf>
    <xf numFmtId="167" fontId="23" fillId="3" borderId="17" xfId="0" applyNumberFormat="1" applyFont="1" applyFill="1" applyBorder="1" applyAlignment="1">
      <alignment horizontal="center" vertical="center" wrapText="1"/>
    </xf>
    <xf numFmtId="167" fontId="23" fillId="3" borderId="18" xfId="0" applyNumberFormat="1" applyFont="1" applyFill="1" applyBorder="1" applyAlignment="1">
      <alignment horizontal="center" vertical="center" wrapText="1"/>
    </xf>
    <xf numFmtId="167" fontId="23" fillId="3" borderId="4" xfId="0" applyNumberFormat="1" applyFont="1" applyFill="1" applyBorder="1" applyAlignment="1">
      <alignment horizontal="center" vertical="center" wrapText="1"/>
    </xf>
    <xf numFmtId="0" fontId="23" fillId="3" borderId="7" xfId="0" applyFont="1" applyFill="1" applyBorder="1" applyAlignment="1" applyProtection="1">
      <alignment horizontal="left" vertical="center"/>
      <protection locked="0"/>
    </xf>
    <xf numFmtId="0" fontId="23" fillId="3" borderId="6" xfId="0" applyFont="1" applyFill="1" applyBorder="1" applyAlignment="1" applyProtection="1">
      <alignment horizontal="left" vertical="center"/>
      <protection locked="0"/>
    </xf>
    <xf numFmtId="0" fontId="23" fillId="3" borderId="3" xfId="0" applyFont="1" applyFill="1" applyBorder="1" applyAlignment="1" applyProtection="1">
      <alignment horizontal="left" vertical="center"/>
      <protection locked="0"/>
    </xf>
    <xf numFmtId="0" fontId="23" fillId="3" borderId="8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14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left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3" fillId="3" borderId="6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5" fillId="3" borderId="7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7" fillId="0" borderId="11" xfId="0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23" fillId="3" borderId="7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41" fontId="23" fillId="3" borderId="18" xfId="0" applyNumberFormat="1" applyFont="1" applyFill="1" applyBorder="1" applyAlignment="1">
      <alignment horizontal="center" vertical="center" wrapText="1"/>
    </xf>
    <xf numFmtId="41" fontId="23" fillId="3" borderId="1" xfId="0" applyNumberFormat="1" applyFont="1" applyFill="1" applyBorder="1" applyAlignment="1">
      <alignment horizontal="left" vertical="center" wrapText="1"/>
    </xf>
    <xf numFmtId="41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textRotation="90"/>
    </xf>
    <xf numFmtId="0" fontId="2" fillId="0" borderId="0" xfId="0" applyFont="1" applyAlignment="1" applyProtection="1">
      <alignment horizontal="center" vertical="center" wrapText="1"/>
      <protection locked="0"/>
    </xf>
    <xf numFmtId="0" fontId="23" fillId="10" borderId="1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>
      <alignment horizontal="center" vertical="center" textRotation="90"/>
    </xf>
    <xf numFmtId="0" fontId="23" fillId="3" borderId="1" xfId="0" applyFont="1" applyFill="1" applyBorder="1" applyAlignment="1">
      <alignment horizontal="left" vertical="center"/>
    </xf>
    <xf numFmtId="0" fontId="21" fillId="0" borderId="9" xfId="0" applyFont="1" applyBorder="1" applyAlignment="1" applyProtection="1">
      <alignment horizontal="center"/>
      <protection locked="0"/>
    </xf>
    <xf numFmtId="0" fontId="26" fillId="3" borderId="1" xfId="0" applyFont="1" applyFill="1" applyBorder="1" applyAlignment="1">
      <alignment horizontal="right" vertical="center" wrapText="1"/>
    </xf>
    <xf numFmtId="168" fontId="26" fillId="3" borderId="1" xfId="2" applyNumberFormat="1" applyFont="1" applyFill="1" applyBorder="1" applyAlignment="1" applyProtection="1">
      <alignment horizontal="center" vertical="center" wrapText="1"/>
    </xf>
    <xf numFmtId="0" fontId="26" fillId="3" borderId="1" xfId="0" applyFont="1" applyFill="1" applyBorder="1" applyAlignment="1" applyProtection="1">
      <alignment horizontal="left" vertical="center"/>
      <protection locked="0"/>
    </xf>
    <xf numFmtId="0" fontId="27" fillId="3" borderId="2" xfId="0" applyFont="1" applyFill="1" applyBorder="1" applyAlignment="1" applyProtection="1">
      <alignment horizontal="center" vertical="center" wrapText="1"/>
      <protection locked="0"/>
    </xf>
    <xf numFmtId="0" fontId="27" fillId="3" borderId="4" xfId="0" applyFont="1" applyFill="1" applyBorder="1" applyAlignment="1" applyProtection="1">
      <alignment horizontal="center" vertical="center" wrapText="1"/>
      <protection locked="0"/>
    </xf>
    <xf numFmtId="166" fontId="27" fillId="3" borderId="1" xfId="2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 wrapText="1"/>
      <protection locked="0"/>
    </xf>
    <xf numFmtId="0" fontId="26" fillId="3" borderId="7" xfId="0" applyFont="1" applyFill="1" applyBorder="1" applyAlignment="1" applyProtection="1">
      <alignment horizontal="left" vertical="center"/>
      <protection locked="0"/>
    </xf>
    <xf numFmtId="0" fontId="26" fillId="3" borderId="6" xfId="0" applyFont="1" applyFill="1" applyBorder="1" applyAlignment="1" applyProtection="1">
      <alignment horizontal="left" vertical="center"/>
      <protection locked="0"/>
    </xf>
    <xf numFmtId="0" fontId="26" fillId="3" borderId="3" xfId="0" applyFont="1" applyFill="1" applyBorder="1" applyAlignment="1" applyProtection="1">
      <alignment horizontal="left" vertical="center"/>
      <protection locked="0"/>
    </xf>
    <xf numFmtId="0" fontId="26" fillId="3" borderId="17" xfId="0" applyFont="1" applyFill="1" applyBorder="1" applyAlignment="1" applyProtection="1">
      <alignment horizontal="center" vertical="center" wrapText="1"/>
      <protection locked="0"/>
    </xf>
    <xf numFmtId="0" fontId="26" fillId="3" borderId="4" xfId="0" applyFont="1" applyFill="1" applyBorder="1" applyAlignment="1" applyProtection="1">
      <alignment horizontal="center" vertical="center" wrapText="1"/>
      <protection locked="0"/>
    </xf>
    <xf numFmtId="0" fontId="27" fillId="3" borderId="7" xfId="0" applyFont="1" applyFill="1" applyBorder="1" applyAlignment="1" applyProtection="1">
      <alignment horizontal="center" vertical="center"/>
      <protection locked="0"/>
    </xf>
    <xf numFmtId="0" fontId="27" fillId="3" borderId="6" xfId="0" applyFont="1" applyFill="1" applyBorder="1" applyAlignment="1" applyProtection="1">
      <alignment horizontal="center" vertical="center"/>
      <protection locked="0"/>
    </xf>
  </cellXfs>
  <cellStyles count="14">
    <cellStyle name="Moeda 2" xfId="4"/>
    <cellStyle name="Normal" xfId="0" builtinId="0"/>
    <cellStyle name="Normal 2" xfId="3"/>
    <cellStyle name="Normal 2 2" xfId="12"/>
    <cellStyle name="Normal 3" xfId="6"/>
    <cellStyle name="Normal 3 2" xfId="7"/>
    <cellStyle name="Normal 3 2 2" xfId="11"/>
    <cellStyle name="Porcentagem" xfId="1" builtinId="5"/>
    <cellStyle name="Porcentagem 2" xfId="10"/>
    <cellStyle name="Separador de milhares 2" xfId="13"/>
    <cellStyle name="Vírgula" xfId="2" builtinId="3"/>
    <cellStyle name="Vírgula 2" xfId="5"/>
    <cellStyle name="Vírgula 2 2" xfId="9"/>
    <cellStyle name="Vírgula 4" xfId="8"/>
  </cellStyles>
  <dxfs count="2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600"/>
      </font>
      <fill>
        <patternFill>
          <bgColor rgb="FF006600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FF"/>
      <color rgb="FFFF6900"/>
      <color rgb="FFFFCFAF"/>
      <color rgb="FFFFF3EB"/>
      <color rgb="FFFFF5D9"/>
      <color rgb="FFFF6600"/>
      <color rgb="FFFFCD00"/>
      <color rgb="FF530053"/>
      <color rgb="FFF09C68"/>
      <color rgb="FF2A5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7324859" cy="778098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324859" cy="77809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-340762</xdr:rowOff>
    </xdr:from>
    <xdr:to>
      <xdr:col>2</xdr:col>
      <xdr:colOff>549322</xdr:colOff>
      <xdr:row>0</xdr:row>
      <xdr:rowOff>744328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0" y="-340762"/>
          <a:ext cx="7562103" cy="10850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311728</xdr:colOff>
      <xdr:row>8</xdr:row>
      <xdr:rowOff>179917</xdr:rowOff>
    </xdr:from>
    <xdr:to>
      <xdr:col>38</xdr:col>
      <xdr:colOff>0</xdr:colOff>
      <xdr:row>17</xdr:row>
      <xdr:rowOff>17318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974523" y="1972349"/>
          <a:ext cx="3645477" cy="162983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200"/>
            <a:t>ATENÇÃO:                                       Cada CAU/UF deverá selecione seu  "UF"</a:t>
          </a:r>
        </a:p>
        <a:p>
          <a:pPr algn="ctr"/>
          <a:r>
            <a:rPr lang="pt-BR" sz="2200"/>
            <a:t>na célula AI2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876300</xdr:colOff>
      <xdr:row>5</xdr:row>
      <xdr:rowOff>142875</xdr:rowOff>
    </xdr:from>
    <xdr:to>
      <xdr:col>12</xdr:col>
      <xdr:colOff>7448550</xdr:colOff>
      <xdr:row>9</xdr:row>
      <xdr:rowOff>38100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5020925" y="1905000"/>
          <a:ext cx="6572250" cy="14573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/>
            <a:t>Insira acima os Objetivos Estratégico Locais definido para o CAU/UF</a:t>
          </a:r>
          <a:br>
            <a:rPr lang="pt-BR" sz="2400"/>
          </a:br>
          <a:r>
            <a:rPr lang="pt-BR" sz="2400"/>
            <a:t>De 2 a 3 objetivos (iguais ao Mapa Estratégico)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9525</xdr:rowOff>
        </xdr:from>
        <xdr:to>
          <xdr:col>10</xdr:col>
          <xdr:colOff>581025</xdr:colOff>
          <xdr:row>1</xdr:row>
          <xdr:rowOff>4791075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="" xmlns:a16="http://schemas.microsoft.com/office/drawing/2014/main" id="{00000000-0008-0000-04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</xdr:row>
      <xdr:rowOff>6445</xdr:rowOff>
    </xdr:from>
    <xdr:to>
      <xdr:col>10</xdr:col>
      <xdr:colOff>569026</xdr:colOff>
      <xdr:row>3</xdr:row>
      <xdr:rowOff>3801533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4195"/>
          <a:ext cx="6707359" cy="3795088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>
    <xdr:from>
      <xdr:col>5</xdr:col>
      <xdr:colOff>348155</xdr:colOff>
      <xdr:row>3</xdr:row>
      <xdr:rowOff>624052</xdr:rowOff>
    </xdr:from>
    <xdr:to>
      <xdr:col>7</xdr:col>
      <xdr:colOff>151086</xdr:colOff>
      <xdr:row>3</xdr:row>
      <xdr:rowOff>1589690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50CA2AC4-86A9-8A80-2C8A-508F90F141BB}"/>
            </a:ext>
          </a:extLst>
        </xdr:cNvPr>
        <xdr:cNvSpPr/>
      </xdr:nvSpPr>
      <xdr:spPr>
        <a:xfrm>
          <a:off x="3402724" y="5938345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507124</xdr:colOff>
      <xdr:row>3</xdr:row>
      <xdr:rowOff>1696107</xdr:rowOff>
    </xdr:from>
    <xdr:to>
      <xdr:col>3</xdr:col>
      <xdr:colOff>310056</xdr:colOff>
      <xdr:row>3</xdr:row>
      <xdr:rowOff>2661745</xdr:rowOff>
    </xdr:to>
    <xdr:sp macro="" textlink="">
      <xdr:nvSpPr>
        <xdr:cNvPr id="7" name="Retângulo 6">
          <a:extLst>
            <a:ext uri="{FF2B5EF4-FFF2-40B4-BE49-F238E27FC236}">
              <a16:creationId xmlns="" xmlns:a16="http://schemas.microsoft.com/office/drawing/2014/main" id="{BCE8E8E8-DBB0-2A42-3A6B-DD37B8E4547C}"/>
            </a:ext>
          </a:extLst>
        </xdr:cNvPr>
        <xdr:cNvSpPr/>
      </xdr:nvSpPr>
      <xdr:spPr>
        <a:xfrm>
          <a:off x="1118038" y="7010400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455887</xdr:colOff>
      <xdr:row>3</xdr:row>
      <xdr:rowOff>1696107</xdr:rowOff>
    </xdr:from>
    <xdr:to>
      <xdr:col>5</xdr:col>
      <xdr:colOff>258818</xdr:colOff>
      <xdr:row>3</xdr:row>
      <xdr:rowOff>2661745</xdr:rowOff>
    </xdr:to>
    <xdr:sp macro="" textlink="">
      <xdr:nvSpPr>
        <xdr:cNvPr id="10" name="Retângulo 9">
          <a:extLst>
            <a:ext uri="{FF2B5EF4-FFF2-40B4-BE49-F238E27FC236}">
              <a16:creationId xmlns="" xmlns:a16="http://schemas.microsoft.com/office/drawing/2014/main" id="{C5810564-94ED-4446-9FDE-2AC41139D257}"/>
            </a:ext>
          </a:extLst>
        </xdr:cNvPr>
        <xdr:cNvSpPr/>
      </xdr:nvSpPr>
      <xdr:spPr>
        <a:xfrm>
          <a:off x="2288628" y="7010400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239110</xdr:colOff>
      <xdr:row>3</xdr:row>
      <xdr:rowOff>1710559</xdr:rowOff>
    </xdr:from>
    <xdr:to>
      <xdr:col>9</xdr:col>
      <xdr:colOff>42042</xdr:colOff>
      <xdr:row>3</xdr:row>
      <xdr:rowOff>2676197</xdr:rowOff>
    </xdr:to>
    <xdr:sp macro="" textlink="">
      <xdr:nvSpPr>
        <xdr:cNvPr id="11" name="Retângulo 10">
          <a:extLst>
            <a:ext uri="{FF2B5EF4-FFF2-40B4-BE49-F238E27FC236}">
              <a16:creationId xmlns="" xmlns:a16="http://schemas.microsoft.com/office/drawing/2014/main" id="{1CDC6915-0BA3-4262-ACB9-6F25343C4723}"/>
            </a:ext>
          </a:extLst>
        </xdr:cNvPr>
        <xdr:cNvSpPr/>
      </xdr:nvSpPr>
      <xdr:spPr>
        <a:xfrm>
          <a:off x="4515507" y="7024852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161597</xdr:colOff>
      <xdr:row>3</xdr:row>
      <xdr:rowOff>1710559</xdr:rowOff>
    </xdr:from>
    <xdr:to>
      <xdr:col>10</xdr:col>
      <xdr:colOff>575442</xdr:colOff>
      <xdr:row>3</xdr:row>
      <xdr:rowOff>2676197</xdr:rowOff>
    </xdr:to>
    <xdr:sp macro="" textlink="">
      <xdr:nvSpPr>
        <xdr:cNvPr id="12" name="Retângulo 11">
          <a:extLst>
            <a:ext uri="{FF2B5EF4-FFF2-40B4-BE49-F238E27FC236}">
              <a16:creationId xmlns="" xmlns:a16="http://schemas.microsoft.com/office/drawing/2014/main" id="{08FE5E46-EF09-4DD1-993B-1519AFC730A6}"/>
            </a:ext>
          </a:extLst>
        </xdr:cNvPr>
        <xdr:cNvSpPr/>
      </xdr:nvSpPr>
      <xdr:spPr>
        <a:xfrm>
          <a:off x="5659821" y="7024852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332390</xdr:colOff>
      <xdr:row>3</xdr:row>
      <xdr:rowOff>2782615</xdr:rowOff>
    </xdr:from>
    <xdr:to>
      <xdr:col>7</xdr:col>
      <xdr:colOff>135321</xdr:colOff>
      <xdr:row>3</xdr:row>
      <xdr:rowOff>3748253</xdr:rowOff>
    </xdr:to>
    <xdr:sp macro="" textlink="">
      <xdr:nvSpPr>
        <xdr:cNvPr id="13" name="Retângulo 12">
          <a:extLst>
            <a:ext uri="{FF2B5EF4-FFF2-40B4-BE49-F238E27FC236}">
              <a16:creationId xmlns="" xmlns:a16="http://schemas.microsoft.com/office/drawing/2014/main" id="{86CF4D1F-12A3-412F-A65F-AF0C25312604}"/>
            </a:ext>
          </a:extLst>
        </xdr:cNvPr>
        <xdr:cNvSpPr/>
      </xdr:nvSpPr>
      <xdr:spPr>
        <a:xfrm>
          <a:off x="3386959" y="8096908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254876</xdr:colOff>
      <xdr:row>3</xdr:row>
      <xdr:rowOff>2782615</xdr:rowOff>
    </xdr:from>
    <xdr:to>
      <xdr:col>9</xdr:col>
      <xdr:colOff>57808</xdr:colOff>
      <xdr:row>3</xdr:row>
      <xdr:rowOff>3748253</xdr:rowOff>
    </xdr:to>
    <xdr:sp macro="" textlink="">
      <xdr:nvSpPr>
        <xdr:cNvPr id="14" name="Retângulo 13">
          <a:extLst>
            <a:ext uri="{FF2B5EF4-FFF2-40B4-BE49-F238E27FC236}">
              <a16:creationId xmlns="" xmlns:a16="http://schemas.microsoft.com/office/drawing/2014/main" id="{00A550EF-30A9-4B0F-AA2B-804867A6DD59}"/>
            </a:ext>
          </a:extLst>
        </xdr:cNvPr>
        <xdr:cNvSpPr/>
      </xdr:nvSpPr>
      <xdr:spPr>
        <a:xfrm>
          <a:off x="4531273" y="8096908"/>
          <a:ext cx="1024759" cy="96563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H\ASSESSORIA%20DE%20PLANEJAMENTO%20E%20GESTAO%20DA%20ESTRATEGIA\2024\Programa&#231;&#227;o%202024\CAU%20UF\CAU%20BA\Final\Programa&#231;&#227;o%20do%20Plano%20de%20A&#231;&#227;o%20e%20Or&#231;amento%20CAUBA%20-%202024_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Diretrizes - Resumo"/>
      <sheetName val="Matriz de Obj. Estrat."/>
      <sheetName val="Mapa Estratégico e ODS"/>
      <sheetName val="Indicadores e Metas"/>
      <sheetName val="Quadro Geral"/>
      <sheetName val="Anexo 1. Fontes e Aplicações"/>
      <sheetName val="Anexo 2. Limites Estratégicos"/>
      <sheetName val="Anexo 3. Elemento de Despesas"/>
      <sheetName val="Validação de dados"/>
    </sheetNames>
    <sheetDataSet>
      <sheetData sheetId="0"/>
      <sheetData sheetId="1"/>
      <sheetData sheetId="2"/>
      <sheetData sheetId="3"/>
      <sheetData sheetId="4">
        <row r="12">
          <cell r="F12">
            <v>0.5</v>
          </cell>
        </row>
      </sheetData>
      <sheetData sheetId="5">
        <row r="8">
          <cell r="A8" t="str">
            <v>Presidência</v>
          </cell>
        </row>
      </sheetData>
      <sheetData sheetId="6">
        <row r="8">
          <cell r="D8">
            <v>6277291.0099999998</v>
          </cell>
        </row>
      </sheetData>
      <sheetData sheetId="7">
        <row r="9">
          <cell r="E9">
            <v>429163.51</v>
          </cell>
        </row>
        <row r="36">
          <cell r="E36">
            <v>0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Paleta CAU 2024">
      <a:dk1>
        <a:srgbClr val="223463"/>
      </a:dk1>
      <a:lt1>
        <a:srgbClr val="71C1A5"/>
      </a:lt1>
      <a:dk2>
        <a:srgbClr val="168B7F"/>
      </a:dk2>
      <a:lt2>
        <a:srgbClr val="FFFF00"/>
      </a:lt2>
      <a:accent1>
        <a:srgbClr val="FF6900"/>
      </a:accent1>
      <a:accent2>
        <a:srgbClr val="954F72"/>
      </a:accent2>
      <a:accent3>
        <a:srgbClr val="A5A5A5"/>
      </a:accent3>
      <a:accent4>
        <a:srgbClr val="898B8E"/>
      </a:accent4>
      <a:accent5>
        <a:srgbClr val="4472C4"/>
      </a:accent5>
      <a:accent6>
        <a:srgbClr val="70AD47"/>
      </a:accent6>
      <a:hlink>
        <a:srgbClr val="103B58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package" Target="../embeddings/Slide_do_Microsoft_PowerPoint1.sld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C37"/>
  <sheetViews>
    <sheetView showGridLines="0" topLeftCell="A28" zoomScale="71" zoomScaleNormal="71" zoomScaleSheetLayoutView="46" workbookViewId="0">
      <selection activeCell="K21" sqref="K21"/>
    </sheetView>
  </sheetViews>
  <sheetFormatPr defaultColWidth="0" defaultRowHeight="15.75" x14ac:dyDescent="0.25"/>
  <cols>
    <col min="1" max="1" width="21.7109375" style="41" bestFit="1" customWidth="1"/>
    <col min="2" max="2" width="24.140625" style="41" bestFit="1" customWidth="1"/>
    <col min="3" max="3" width="117" style="41" bestFit="1" customWidth="1"/>
    <col min="4" max="4" width="23.42578125" style="41" bestFit="1" customWidth="1"/>
    <col min="5" max="5" width="110.42578125" style="41" customWidth="1"/>
    <col min="6" max="6" width="21.85546875" style="213" hidden="1" customWidth="1"/>
    <col min="7" max="7" width="19.5703125" style="213" hidden="1" customWidth="1"/>
    <col min="8" max="8" width="21.85546875" style="213" hidden="1" customWidth="1"/>
    <col min="9" max="9" width="5.42578125" style="213" hidden="1" customWidth="1"/>
    <col min="10" max="10" width="21.85546875" style="213" hidden="1" customWidth="1"/>
    <col min="11" max="11" width="21.85546875" style="1" hidden="1" customWidth="1"/>
    <col min="12" max="16383" width="0" style="1" hidden="1"/>
    <col min="16384" max="16384" width="52.140625" style="1" hidden="1" customWidth="1"/>
  </cols>
  <sheetData>
    <row r="1" spans="1:11" ht="67.5" customHeight="1" x14ac:dyDescent="0.25">
      <c r="A1" s="245"/>
      <c r="B1" s="245"/>
      <c r="C1" s="245"/>
      <c r="D1" s="245"/>
      <c r="E1" s="245"/>
    </row>
    <row r="2" spans="1:11" ht="26.25" x14ac:dyDescent="0.25">
      <c r="A2" s="243" t="s">
        <v>600</v>
      </c>
      <c r="B2" s="243"/>
      <c r="C2" s="243"/>
      <c r="D2" s="243"/>
      <c r="E2" s="243"/>
    </row>
    <row r="3" spans="1:11" ht="29.25" customHeight="1" x14ac:dyDescent="0.25">
      <c r="A3" s="228" t="s">
        <v>599</v>
      </c>
      <c r="B3" s="228"/>
      <c r="C3" s="228"/>
      <c r="D3" s="235" t="s">
        <v>601</v>
      </c>
      <c r="E3" s="235"/>
    </row>
    <row r="4" spans="1:11" ht="29.25" customHeight="1" x14ac:dyDescent="0.25">
      <c r="A4" s="228" t="s">
        <v>598</v>
      </c>
      <c r="B4" s="228"/>
      <c r="C4" s="228"/>
      <c r="D4" s="235" t="s">
        <v>602</v>
      </c>
      <c r="E4" s="235"/>
      <c r="G4" s="213" t="s">
        <v>587</v>
      </c>
    </row>
    <row r="5" spans="1:11" ht="29.25" customHeight="1" x14ac:dyDescent="0.25">
      <c r="A5" s="228" t="s">
        <v>597</v>
      </c>
      <c r="B5" s="228"/>
      <c r="C5" s="228"/>
      <c r="D5" s="235" t="s">
        <v>603</v>
      </c>
      <c r="E5" s="235"/>
      <c r="G5" s="213" t="s">
        <v>585</v>
      </c>
    </row>
    <row r="6" spans="1:11" ht="29.25" customHeight="1" x14ac:dyDescent="0.25">
      <c r="A6" s="228" t="s">
        <v>596</v>
      </c>
      <c r="B6" s="228"/>
      <c r="C6" s="228"/>
      <c r="D6" s="246">
        <v>45483</v>
      </c>
      <c r="E6" s="235"/>
    </row>
    <row r="7" spans="1:11" ht="29.25" customHeight="1" x14ac:dyDescent="0.25">
      <c r="A7" s="228" t="s">
        <v>595</v>
      </c>
      <c r="B7" s="228"/>
      <c r="C7" s="228"/>
      <c r="D7" s="246">
        <v>45488</v>
      </c>
      <c r="E7" s="235"/>
    </row>
    <row r="8" spans="1:11" ht="29.25" customHeight="1" x14ac:dyDescent="0.25">
      <c r="A8" s="228" t="s">
        <v>594</v>
      </c>
      <c r="B8" s="228"/>
      <c r="C8" s="228"/>
      <c r="D8" s="235" t="s">
        <v>604</v>
      </c>
      <c r="E8" s="235"/>
    </row>
    <row r="9" spans="1:11" ht="29.25" customHeight="1" x14ac:dyDescent="0.25">
      <c r="A9" s="228" t="s">
        <v>593</v>
      </c>
      <c r="B9" s="228"/>
      <c r="C9" s="228"/>
      <c r="D9" s="235" t="s">
        <v>605</v>
      </c>
      <c r="E9" s="235"/>
    </row>
    <row r="11" spans="1:11" s="41" customFormat="1" ht="26.25" x14ac:dyDescent="0.25">
      <c r="A11" s="243" t="s">
        <v>592</v>
      </c>
      <c r="B11" s="243"/>
      <c r="C11" s="243"/>
      <c r="D11" s="243"/>
      <c r="E11" s="243"/>
      <c r="F11" s="214"/>
      <c r="G11" s="217"/>
      <c r="H11" s="217"/>
      <c r="I11" s="217"/>
      <c r="J11" s="217"/>
    </row>
    <row r="13" spans="1:11" s="41" customFormat="1" ht="71.25" customHeight="1" x14ac:dyDescent="0.25">
      <c r="A13" s="244" t="s">
        <v>591</v>
      </c>
      <c r="B13" s="244"/>
      <c r="C13" s="244"/>
      <c r="D13" s="222" t="s">
        <v>590</v>
      </c>
      <c r="E13" s="225" t="s">
        <v>589</v>
      </c>
      <c r="F13" s="220"/>
      <c r="G13" s="42"/>
      <c r="H13" s="42"/>
      <c r="I13" s="42"/>
      <c r="J13" s="42"/>
      <c r="K13" s="42"/>
    </row>
    <row r="14" spans="1:11" ht="56.25" customHeight="1" x14ac:dyDescent="0.25">
      <c r="A14" s="227" t="s">
        <v>588</v>
      </c>
      <c r="B14" s="228"/>
      <c r="C14" s="228"/>
      <c r="D14" s="216" t="s">
        <v>560</v>
      </c>
      <c r="E14" s="215" t="s">
        <v>606</v>
      </c>
      <c r="F14" s="221"/>
      <c r="G14" s="220" t="s">
        <v>560</v>
      </c>
      <c r="H14" s="221"/>
      <c r="I14" s="221" t="s">
        <v>587</v>
      </c>
      <c r="J14" s="221"/>
      <c r="K14" s="221"/>
    </row>
    <row r="15" spans="1:11" ht="48" customHeight="1" x14ac:dyDescent="0.25">
      <c r="A15" s="229" t="s">
        <v>586</v>
      </c>
      <c r="B15" s="229"/>
      <c r="C15" s="229"/>
      <c r="D15" s="216" t="s">
        <v>560</v>
      </c>
      <c r="E15" s="215" t="s">
        <v>607</v>
      </c>
      <c r="F15" s="221"/>
      <c r="G15" s="220" t="s">
        <v>562</v>
      </c>
      <c r="H15" s="221"/>
      <c r="I15" s="221" t="s">
        <v>585</v>
      </c>
      <c r="J15" s="221"/>
      <c r="K15" s="221"/>
    </row>
    <row r="16" spans="1:11" s="41" customFormat="1" ht="42" customHeight="1" x14ac:dyDescent="0.25">
      <c r="A16" s="229" t="s">
        <v>584</v>
      </c>
      <c r="B16" s="229"/>
      <c r="C16" s="229"/>
      <c r="D16" s="216" t="s">
        <v>562</v>
      </c>
      <c r="E16" s="215" t="s">
        <v>608</v>
      </c>
      <c r="F16" s="42"/>
      <c r="G16" s="220" t="s">
        <v>571</v>
      </c>
      <c r="H16" s="42"/>
      <c r="I16" s="42"/>
      <c r="J16" s="42"/>
      <c r="K16" s="42"/>
    </row>
    <row r="17" spans="1:11" ht="43.5" customHeight="1" x14ac:dyDescent="0.25">
      <c r="A17" s="231" t="s">
        <v>583</v>
      </c>
      <c r="B17" s="232"/>
      <c r="C17" s="219" t="s">
        <v>582</v>
      </c>
      <c r="D17" s="216" t="s">
        <v>580</v>
      </c>
      <c r="E17" s="215"/>
      <c r="G17" s="220" t="s">
        <v>556</v>
      </c>
    </row>
    <row r="18" spans="1:11" ht="50.25" customHeight="1" x14ac:dyDescent="0.25">
      <c r="A18" s="233"/>
      <c r="B18" s="234"/>
      <c r="C18" s="219" t="s">
        <v>581</v>
      </c>
      <c r="D18" s="216" t="s">
        <v>580</v>
      </c>
      <c r="E18" s="215"/>
      <c r="G18" s="220" t="s">
        <v>580</v>
      </c>
    </row>
    <row r="19" spans="1:11" ht="60" customHeight="1" x14ac:dyDescent="0.25">
      <c r="A19" s="222" t="s">
        <v>579</v>
      </c>
      <c r="B19" s="229" t="s">
        <v>578</v>
      </c>
      <c r="C19" s="229"/>
      <c r="D19" s="216" t="s">
        <v>560</v>
      </c>
      <c r="E19" s="215" t="s">
        <v>607</v>
      </c>
      <c r="F19" s="221"/>
      <c r="G19" s="221"/>
      <c r="H19" s="221"/>
      <c r="I19" s="221"/>
      <c r="J19" s="221"/>
      <c r="K19" s="221"/>
    </row>
    <row r="20" spans="1:11" ht="60" customHeight="1" x14ac:dyDescent="0.25">
      <c r="A20" s="223" t="s">
        <v>339</v>
      </c>
      <c r="B20" s="229" t="s">
        <v>577</v>
      </c>
      <c r="C20" s="229"/>
      <c r="D20" s="216" t="s">
        <v>560</v>
      </c>
      <c r="E20" s="215" t="s">
        <v>607</v>
      </c>
      <c r="F20" s="224"/>
      <c r="H20" s="221"/>
      <c r="I20" s="221"/>
      <c r="J20" s="221"/>
      <c r="K20" s="221"/>
    </row>
    <row r="21" spans="1:11" ht="60" customHeight="1" x14ac:dyDescent="0.25">
      <c r="A21" s="223"/>
      <c r="B21" s="229" t="s">
        <v>576</v>
      </c>
      <c r="C21" s="229"/>
      <c r="D21" s="216" t="s">
        <v>560</v>
      </c>
      <c r="E21" s="215" t="s">
        <v>607</v>
      </c>
      <c r="F21" s="221"/>
      <c r="H21" s="221"/>
      <c r="I21" s="221"/>
      <c r="J21" s="221"/>
      <c r="K21" s="221"/>
    </row>
    <row r="22" spans="1:11" ht="60" customHeight="1" x14ac:dyDescent="0.25">
      <c r="A22" s="222"/>
      <c r="B22" s="229" t="s">
        <v>575</v>
      </c>
      <c r="C22" s="229"/>
      <c r="D22" s="216" t="s">
        <v>560</v>
      </c>
      <c r="E22" s="215" t="s">
        <v>607</v>
      </c>
      <c r="F22" s="221"/>
      <c r="H22" s="221"/>
      <c r="I22" s="221"/>
      <c r="J22" s="221"/>
      <c r="K22" s="221"/>
    </row>
    <row r="23" spans="1:11" s="41" customFormat="1" ht="57.75" customHeight="1" x14ac:dyDescent="0.25">
      <c r="A23" s="230" t="s">
        <v>574</v>
      </c>
      <c r="B23" s="229" t="s">
        <v>573</v>
      </c>
      <c r="C23" s="229"/>
      <c r="D23" s="216" t="s">
        <v>560</v>
      </c>
      <c r="E23" s="215" t="s">
        <v>607</v>
      </c>
      <c r="F23" s="42"/>
      <c r="G23" s="220"/>
      <c r="H23" s="42"/>
      <c r="I23" s="42"/>
      <c r="J23" s="42"/>
      <c r="K23" s="42"/>
    </row>
    <row r="24" spans="1:11" s="41" customFormat="1" ht="57.75" customHeight="1" x14ac:dyDescent="0.25">
      <c r="A24" s="230"/>
      <c r="B24" s="229" t="s">
        <v>572</v>
      </c>
      <c r="C24" s="229"/>
      <c r="D24" s="216" t="s">
        <v>560</v>
      </c>
      <c r="E24" s="215" t="s">
        <v>607</v>
      </c>
      <c r="F24" s="217"/>
      <c r="G24" s="214" t="s">
        <v>571</v>
      </c>
      <c r="H24" s="217"/>
      <c r="I24" s="217"/>
      <c r="J24" s="217"/>
    </row>
    <row r="25" spans="1:11" s="41" customFormat="1" ht="57.75" customHeight="1" x14ac:dyDescent="0.25">
      <c r="A25" s="230"/>
      <c r="B25" s="229" t="s">
        <v>570</v>
      </c>
      <c r="C25" s="229"/>
      <c r="D25" s="216" t="s">
        <v>560</v>
      </c>
      <c r="E25" s="215" t="s">
        <v>607</v>
      </c>
      <c r="F25" s="217"/>
      <c r="G25" s="214" t="s">
        <v>569</v>
      </c>
      <c r="H25" s="217"/>
      <c r="I25" s="217"/>
      <c r="J25" s="217"/>
    </row>
    <row r="26" spans="1:11" s="41" customFormat="1" ht="57.75" customHeight="1" x14ac:dyDescent="0.25">
      <c r="A26" s="230"/>
      <c r="B26" s="229" t="s">
        <v>568</v>
      </c>
      <c r="C26" s="229"/>
      <c r="D26" s="216" t="s">
        <v>560</v>
      </c>
      <c r="E26" s="215" t="s">
        <v>607</v>
      </c>
      <c r="F26" s="217"/>
      <c r="G26" s="217"/>
      <c r="H26" s="217"/>
      <c r="I26" s="217"/>
      <c r="J26" s="217"/>
    </row>
    <row r="27" spans="1:11" s="41" customFormat="1" ht="57.75" customHeight="1" x14ac:dyDescent="0.25">
      <c r="A27" s="230"/>
      <c r="B27" s="230" t="s">
        <v>567</v>
      </c>
      <c r="C27" s="219" t="s">
        <v>566</v>
      </c>
      <c r="D27" s="216" t="s">
        <v>560</v>
      </c>
      <c r="E27" s="215" t="s">
        <v>607</v>
      </c>
      <c r="F27" s="217"/>
      <c r="G27" s="217"/>
      <c r="H27" s="217"/>
      <c r="I27" s="217"/>
      <c r="J27" s="217"/>
    </row>
    <row r="28" spans="1:11" s="41" customFormat="1" ht="75.75" customHeight="1" x14ac:dyDescent="0.25">
      <c r="A28" s="230"/>
      <c r="B28" s="230"/>
      <c r="C28" s="218" t="s">
        <v>565</v>
      </c>
      <c r="D28" s="216" t="s">
        <v>580</v>
      </c>
      <c r="E28" s="215"/>
      <c r="F28" s="217"/>
      <c r="G28" s="217"/>
      <c r="H28" s="217"/>
      <c r="I28" s="217"/>
      <c r="J28" s="217"/>
    </row>
    <row r="29" spans="1:11" s="41" customFormat="1" ht="72" customHeight="1" x14ac:dyDescent="0.25">
      <c r="A29" s="230"/>
      <c r="B29" s="230"/>
      <c r="C29" s="218" t="s">
        <v>564</v>
      </c>
      <c r="D29" s="216" t="s">
        <v>580</v>
      </c>
      <c r="E29" s="215"/>
      <c r="F29" s="217"/>
      <c r="G29" s="217"/>
      <c r="H29" s="217"/>
      <c r="I29" s="217"/>
      <c r="J29" s="217"/>
    </row>
    <row r="30" spans="1:11" ht="108" customHeight="1" x14ac:dyDescent="0.25">
      <c r="A30" s="242" t="s">
        <v>563</v>
      </c>
      <c r="B30" s="242"/>
      <c r="C30" s="242"/>
      <c r="D30" s="216" t="s">
        <v>571</v>
      </c>
      <c r="E30" s="215" t="s">
        <v>609</v>
      </c>
      <c r="G30" s="214" t="s">
        <v>562</v>
      </c>
    </row>
    <row r="31" spans="1:11" ht="71.25" customHeight="1" x14ac:dyDescent="0.25">
      <c r="A31" s="229" t="s">
        <v>561</v>
      </c>
      <c r="B31" s="229"/>
      <c r="C31" s="229"/>
      <c r="D31" s="216" t="s">
        <v>560</v>
      </c>
      <c r="E31" s="215" t="s">
        <v>607</v>
      </c>
    </row>
    <row r="32" spans="1:11" ht="71.25" customHeight="1" x14ac:dyDescent="0.25">
      <c r="A32" s="229" t="s">
        <v>559</v>
      </c>
      <c r="B32" s="229"/>
      <c r="C32" s="229"/>
      <c r="D32" s="216" t="s">
        <v>580</v>
      </c>
      <c r="E32" s="215"/>
    </row>
    <row r="33" spans="1:6" ht="71.25" customHeight="1" x14ac:dyDescent="0.25">
      <c r="A33" s="229" t="s">
        <v>558</v>
      </c>
      <c r="B33" s="229"/>
      <c r="C33" s="229"/>
      <c r="D33" s="216" t="s">
        <v>556</v>
      </c>
      <c r="E33" s="215" t="s">
        <v>610</v>
      </c>
    </row>
    <row r="34" spans="1:6" ht="71.25" customHeight="1" x14ac:dyDescent="0.25">
      <c r="A34" s="229" t="s">
        <v>557</v>
      </c>
      <c r="B34" s="229"/>
      <c r="C34" s="229"/>
      <c r="D34" s="216" t="s">
        <v>556</v>
      </c>
      <c r="E34" s="215" t="s">
        <v>611</v>
      </c>
    </row>
    <row r="35" spans="1:6" ht="39.75" customHeight="1" thickBot="1" x14ac:dyDescent="0.3"/>
    <row r="36" spans="1:6" ht="16.5" thickBot="1" x14ac:dyDescent="0.3">
      <c r="A36" s="239" t="s">
        <v>555</v>
      </c>
      <c r="B36" s="240"/>
      <c r="C36" s="240"/>
      <c r="D36" s="240"/>
      <c r="E36" s="241"/>
      <c r="F36" s="214"/>
    </row>
    <row r="37" spans="1:6" ht="45" customHeight="1" thickBot="1" x14ac:dyDescent="0.3">
      <c r="A37" s="236" t="s">
        <v>554</v>
      </c>
      <c r="B37" s="237"/>
      <c r="C37" s="237"/>
      <c r="D37" s="237"/>
      <c r="E37" s="238"/>
      <c r="F37" s="214"/>
    </row>
  </sheetData>
  <mergeCells count="39">
    <mergeCell ref="A1:E1"/>
    <mergeCell ref="A8:C8"/>
    <mergeCell ref="A7:C7"/>
    <mergeCell ref="A6:C6"/>
    <mergeCell ref="A5:C5"/>
    <mergeCell ref="D8:E8"/>
    <mergeCell ref="D7:E7"/>
    <mergeCell ref="D6:E6"/>
    <mergeCell ref="D5:E5"/>
    <mergeCell ref="A2:E2"/>
    <mergeCell ref="A4:C4"/>
    <mergeCell ref="A3:C3"/>
    <mergeCell ref="D4:E4"/>
    <mergeCell ref="D3:E3"/>
    <mergeCell ref="D9:E9"/>
    <mergeCell ref="A9:C9"/>
    <mergeCell ref="A37:E37"/>
    <mergeCell ref="A36:E36"/>
    <mergeCell ref="A34:C34"/>
    <mergeCell ref="A33:C33"/>
    <mergeCell ref="A32:C32"/>
    <mergeCell ref="A31:C31"/>
    <mergeCell ref="B26:C26"/>
    <mergeCell ref="B24:C24"/>
    <mergeCell ref="B27:B29"/>
    <mergeCell ref="B25:C25"/>
    <mergeCell ref="A30:C30"/>
    <mergeCell ref="A11:E11"/>
    <mergeCell ref="A13:C13"/>
    <mergeCell ref="A15:C15"/>
    <mergeCell ref="A14:C14"/>
    <mergeCell ref="B23:C23"/>
    <mergeCell ref="B21:C21"/>
    <mergeCell ref="A23:A29"/>
    <mergeCell ref="A17:B18"/>
    <mergeCell ref="B22:C22"/>
    <mergeCell ref="A16:C16"/>
    <mergeCell ref="B19:C19"/>
    <mergeCell ref="B20:C20"/>
  </mergeCells>
  <dataValidations count="2">
    <dataValidation type="list" allowBlank="1" showInputMessage="1" showErrorMessage="1" sqref="D14:D34">
      <formula1>$G$14:$G$18</formula1>
    </dataValidation>
    <dataValidation type="list" allowBlank="1" showInputMessage="1" showErrorMessage="1" sqref="D4:E4">
      <formula1>"NORMAL, BÁSICO"</formula1>
    </dataValidation>
  </dataValidations>
  <printOptions horizontalCentered="1"/>
  <pageMargins left="0.7" right="0.7" top="0.75" bottom="0.75" header="0.3" footer="0.3"/>
  <pageSetup paperSize="9" scale="37" orientation="portrait" r:id="rId1"/>
  <headerFooter scaleWithDoc="0"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1"/>
  </sheetPr>
  <dimension ref="A1:W87"/>
  <sheetViews>
    <sheetView showGridLines="0" tabSelected="1" topLeftCell="C1" zoomScale="80" zoomScaleNormal="80" workbookViewId="0">
      <selection activeCell="A10" sqref="A10:XFD10"/>
    </sheetView>
  </sheetViews>
  <sheetFormatPr defaultColWidth="0" defaultRowHeight="15.75" zeroHeight="1" x14ac:dyDescent="0.25"/>
  <cols>
    <col min="1" max="1" width="38.42578125" style="11" customWidth="1"/>
    <col min="2" max="2" width="8.85546875" style="210" bestFit="1" customWidth="1"/>
    <col min="3" max="3" width="44.140625" style="11" customWidth="1"/>
    <col min="4" max="4" width="18.7109375" style="11" customWidth="1"/>
    <col min="5" max="5" width="5.85546875" style="11" customWidth="1"/>
    <col min="6" max="6" width="16.7109375" style="11" bestFit="1" customWidth="1"/>
    <col min="7" max="15" width="15.28515625" style="11" customWidth="1"/>
    <col min="16" max="17" width="16.7109375" style="11" customWidth="1"/>
    <col min="18" max="19" width="15.28515625" style="11" customWidth="1"/>
    <col min="20" max="21" width="16.7109375" style="11" bestFit="1" customWidth="1"/>
    <col min="22" max="22" width="18" style="11" bestFit="1" customWidth="1"/>
    <col min="23" max="23" width="11.85546875" style="11" customWidth="1"/>
    <col min="24" max="16384" width="16.42578125" style="11" hidden="1"/>
  </cols>
  <sheetData>
    <row r="1" spans="1:23" ht="20.25" customHeight="1" x14ac:dyDescent="0.25">
      <c r="A1" s="365" t="str">
        <f>'Indicadores e Metas'!A1:F1</f>
        <v>CAU/UF:  BA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3" ht="20.25" customHeight="1" x14ac:dyDescent="0.25">
      <c r="A2" s="372" t="s">
        <v>410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4"/>
    </row>
    <row r="3" spans="1:23" x14ac:dyDescent="0.25"/>
    <row r="4" spans="1:23" s="17" customFormat="1" ht="25.5" customHeight="1" x14ac:dyDescent="0.25">
      <c r="A4" s="371" t="s">
        <v>4</v>
      </c>
      <c r="B4" s="375" t="str">
        <f>'Quadro Geral'!B5</f>
        <v>P/A/ PE</v>
      </c>
      <c r="C4" s="369" t="s">
        <v>35</v>
      </c>
      <c r="D4" s="369" t="s">
        <v>426</v>
      </c>
      <c r="E4" s="152"/>
      <c r="F4" s="370" t="s">
        <v>1</v>
      </c>
      <c r="G4" s="370"/>
      <c r="H4" s="366" t="s">
        <v>36</v>
      </c>
      <c r="I4" s="377" t="s">
        <v>37</v>
      </c>
      <c r="J4" s="378"/>
      <c r="K4" s="378"/>
      <c r="L4" s="378"/>
      <c r="M4" s="378"/>
      <c r="N4" s="378"/>
      <c r="O4" s="378"/>
      <c r="P4" s="378"/>
      <c r="Q4" s="368" t="s">
        <v>134</v>
      </c>
      <c r="R4" s="368" t="s">
        <v>153</v>
      </c>
      <c r="S4" s="368" t="s">
        <v>38</v>
      </c>
      <c r="T4" s="368" t="s">
        <v>39</v>
      </c>
      <c r="U4" s="369" t="s">
        <v>2</v>
      </c>
      <c r="V4" s="370" t="s">
        <v>425</v>
      </c>
      <c r="W4" s="370" t="s">
        <v>40</v>
      </c>
    </row>
    <row r="5" spans="1:23" s="17" customFormat="1" ht="55.9" customHeight="1" x14ac:dyDescent="0.25">
      <c r="A5" s="371"/>
      <c r="B5" s="376"/>
      <c r="C5" s="369"/>
      <c r="D5" s="369"/>
      <c r="E5" s="152"/>
      <c r="F5" s="151" t="s">
        <v>61</v>
      </c>
      <c r="G5" s="151" t="s">
        <v>41</v>
      </c>
      <c r="H5" s="367"/>
      <c r="I5" s="151" t="s">
        <v>41</v>
      </c>
      <c r="J5" s="207" t="s">
        <v>429</v>
      </c>
      <c r="K5" s="207" t="s">
        <v>430</v>
      </c>
      <c r="L5" s="207" t="s">
        <v>431</v>
      </c>
      <c r="M5" s="207" t="s">
        <v>432</v>
      </c>
      <c r="N5" s="207" t="s">
        <v>433</v>
      </c>
      <c r="O5" s="151" t="s">
        <v>42</v>
      </c>
      <c r="P5" s="151" t="s">
        <v>43</v>
      </c>
      <c r="Q5" s="368"/>
      <c r="R5" s="368"/>
      <c r="S5" s="368"/>
      <c r="T5" s="368"/>
      <c r="U5" s="369"/>
      <c r="V5" s="370"/>
      <c r="W5" s="370"/>
    </row>
    <row r="6" spans="1:23" ht="31.5" customHeight="1" x14ac:dyDescent="0.25">
      <c r="A6" s="155" t="str">
        <f>'Quadro Geral'!A7</f>
        <v>Presidência</v>
      </c>
      <c r="B6" s="211" t="str">
        <f>'Quadro Geral'!B7</f>
        <v>A</v>
      </c>
      <c r="C6" s="155" t="str">
        <f>'Quadro Geral'!D7</f>
        <v>Articulação Institucional e fomento de parcerias estratégicas.</v>
      </c>
      <c r="D6" s="158">
        <f>'Quadro Geral'!L7</f>
        <v>389145.31999999995</v>
      </c>
      <c r="E6" s="153"/>
      <c r="F6" s="24">
        <v>102805.32</v>
      </c>
      <c r="G6" s="24">
        <v>4000</v>
      </c>
      <c r="H6" s="24"/>
      <c r="I6" s="24">
        <v>70000</v>
      </c>
      <c r="J6" s="24"/>
      <c r="K6" s="24">
        <v>2340</v>
      </c>
      <c r="L6" s="24">
        <v>3000</v>
      </c>
      <c r="M6" s="24">
        <v>6000</v>
      </c>
      <c r="N6" s="24">
        <v>16000</v>
      </c>
      <c r="O6" s="24">
        <v>60000</v>
      </c>
      <c r="P6" s="24">
        <v>125000</v>
      </c>
      <c r="Q6" s="24"/>
      <c r="R6" s="24"/>
      <c r="S6" s="24"/>
      <c r="T6" s="159">
        <f>SUM(F6:S6)</f>
        <v>389145.32</v>
      </c>
      <c r="U6" s="24"/>
      <c r="V6" s="159">
        <f>T6+U6</f>
        <v>389145.32</v>
      </c>
      <c r="W6" s="160">
        <f t="shared" ref="W6:W35" si="0">IFERROR(V6/$V$36,0)</f>
        <v>3.2082163670618093E-2</v>
      </c>
    </row>
    <row r="7" spans="1:23" ht="31.5" customHeight="1" x14ac:dyDescent="0.25">
      <c r="A7" s="155" t="str">
        <f>'Quadro Geral'!A8</f>
        <v>Direção Geral</v>
      </c>
      <c r="B7" s="211" t="str">
        <f>'Quadro Geral'!B8</f>
        <v>A</v>
      </c>
      <c r="C7" s="155" t="str">
        <f>'Quadro Geral'!D8</f>
        <v>Manutenção Institucional</v>
      </c>
      <c r="D7" s="158">
        <f>'Quadro Geral'!L8</f>
        <v>640983.5</v>
      </c>
      <c r="E7" s="153"/>
      <c r="F7" s="24">
        <v>324037.61</v>
      </c>
      <c r="G7" s="24">
        <v>10000</v>
      </c>
      <c r="H7" s="24"/>
      <c r="I7" s="24"/>
      <c r="J7" s="24"/>
      <c r="K7" s="24"/>
      <c r="L7" s="24"/>
      <c r="M7" s="24"/>
      <c r="N7" s="24"/>
      <c r="O7" s="24">
        <v>14000</v>
      </c>
      <c r="P7" s="24">
        <f>162945.89</f>
        <v>162945.89000000001</v>
      </c>
      <c r="Q7" s="24"/>
      <c r="R7" s="24"/>
      <c r="S7" s="24">
        <v>130000</v>
      </c>
      <c r="T7" s="159">
        <f t="shared" ref="T7:T35" si="1">SUM(F7:S7)</f>
        <v>640983.5</v>
      </c>
      <c r="U7" s="24"/>
      <c r="V7" s="159">
        <f t="shared" ref="V7:V35" si="2">T7+U7</f>
        <v>640983.5</v>
      </c>
      <c r="W7" s="160">
        <f t="shared" si="0"/>
        <v>5.2844365588581743E-2</v>
      </c>
    </row>
    <row r="8" spans="1:23" ht="31.5" customHeight="1" x14ac:dyDescent="0.25">
      <c r="A8" s="155" t="str">
        <f>'Quadro Geral'!A9</f>
        <v>Gerência Técnica</v>
      </c>
      <c r="B8" s="211" t="str">
        <f>'Quadro Geral'!B9</f>
        <v>A</v>
      </c>
      <c r="C8" s="155" t="str">
        <f>'Quadro Geral'!D9</f>
        <v>Orientação, esclarecimento e atendimento de demandas de profissionais e empresas</v>
      </c>
      <c r="D8" s="158">
        <f>'Quadro Geral'!L9</f>
        <v>394489.7</v>
      </c>
      <c r="E8" s="153"/>
      <c r="F8" s="24">
        <v>322059.53999999998</v>
      </c>
      <c r="G8" s="24">
        <v>5760</v>
      </c>
      <c r="H8" s="24"/>
      <c r="I8" s="24"/>
      <c r="J8" s="24"/>
      <c r="K8" s="24">
        <v>360</v>
      </c>
      <c r="L8" s="24"/>
      <c r="M8" s="24"/>
      <c r="N8" s="24"/>
      <c r="O8" s="24">
        <v>5000</v>
      </c>
      <c r="P8" s="24">
        <v>61310.16</v>
      </c>
      <c r="Q8" s="24"/>
      <c r="R8" s="24"/>
      <c r="S8" s="24"/>
      <c r="T8" s="159">
        <f t="shared" si="1"/>
        <v>394489.69999999995</v>
      </c>
      <c r="U8" s="24"/>
      <c r="V8" s="159">
        <f t="shared" si="2"/>
        <v>394489.69999999995</v>
      </c>
      <c r="W8" s="160">
        <f t="shared" si="0"/>
        <v>3.2522768414054236E-2</v>
      </c>
    </row>
    <row r="9" spans="1:23" ht="31.5" customHeight="1" x14ac:dyDescent="0.25">
      <c r="A9" s="155" t="str">
        <f>'Quadro Geral'!A10</f>
        <v>Gerência de Operações</v>
      </c>
      <c r="B9" s="211" t="str">
        <f>'Quadro Geral'!B10</f>
        <v>A</v>
      </c>
      <c r="C9" s="155" t="str">
        <f>'Quadro Geral'!D10</f>
        <v>Operacionalização dos processos éticos e de multa/fiscalização</v>
      </c>
      <c r="D9" s="158">
        <f>'Quadro Geral'!L10</f>
        <v>219752.1</v>
      </c>
      <c r="E9" s="153"/>
      <c r="F9" s="24">
        <v>168647.1</v>
      </c>
      <c r="G9" s="24">
        <v>19845</v>
      </c>
      <c r="H9" s="24"/>
      <c r="I9" s="24"/>
      <c r="J9" s="24"/>
      <c r="K9" s="24">
        <v>1260</v>
      </c>
      <c r="L9" s="24"/>
      <c r="M9" s="24"/>
      <c r="N9" s="24"/>
      <c r="O9" s="24">
        <v>29000</v>
      </c>
      <c r="P9" s="24">
        <v>1000</v>
      </c>
      <c r="Q9" s="24"/>
      <c r="R9" s="24"/>
      <c r="S9" s="24"/>
      <c r="T9" s="159">
        <f t="shared" si="1"/>
        <v>219752.1</v>
      </c>
      <c r="U9" s="24"/>
      <c r="V9" s="159">
        <f t="shared" si="2"/>
        <v>219752.1</v>
      </c>
      <c r="W9" s="160">
        <f t="shared" si="0"/>
        <v>1.8116941093270847E-2</v>
      </c>
    </row>
    <row r="10" spans="1:23" ht="31.5" customHeight="1" x14ac:dyDescent="0.25">
      <c r="A10" s="155" t="str">
        <f>'Quadro Geral'!A11</f>
        <v>Gerência Financeira</v>
      </c>
      <c r="B10" s="211" t="str">
        <f>'Quadro Geral'!B11</f>
        <v>A</v>
      </c>
      <c r="C10" s="155" t="str">
        <f>'Quadro Geral'!D11</f>
        <v>Manutenção Financeira</v>
      </c>
      <c r="D10" s="158">
        <f>'Quadro Geral'!L11</f>
        <v>514381.12</v>
      </c>
      <c r="E10" s="153"/>
      <c r="F10" s="24">
        <v>386732.95</v>
      </c>
      <c r="G10" s="24">
        <v>5760</v>
      </c>
      <c r="H10" s="24"/>
      <c r="I10" s="24"/>
      <c r="J10" s="24"/>
      <c r="K10" s="24">
        <v>360</v>
      </c>
      <c r="L10" s="24"/>
      <c r="M10" s="24"/>
      <c r="N10" s="24"/>
      <c r="O10" s="24">
        <v>14000</v>
      </c>
      <c r="P10" s="24">
        <f>101000+4528.17</f>
        <v>105528.17</v>
      </c>
      <c r="Q10" s="24"/>
      <c r="R10" s="24"/>
      <c r="S10" s="24">
        <v>2000</v>
      </c>
      <c r="T10" s="159">
        <f t="shared" si="1"/>
        <v>514381.12</v>
      </c>
      <c r="U10" s="24"/>
      <c r="V10" s="159">
        <f t="shared" si="2"/>
        <v>514381.12</v>
      </c>
      <c r="W10" s="160">
        <f t="shared" si="0"/>
        <v>4.2406932404881144E-2</v>
      </c>
    </row>
    <row r="11" spans="1:23" ht="31.5" customHeight="1" x14ac:dyDescent="0.25">
      <c r="A11" s="155" t="str">
        <f>'Quadro Geral'!A12</f>
        <v>Assessoria Jurídica</v>
      </c>
      <c r="B11" s="211" t="str">
        <f>'Quadro Geral'!B12</f>
        <v>A</v>
      </c>
      <c r="C11" s="155" t="str">
        <f>'Quadro Geral'!D12</f>
        <v>Consultoria e Assessoria Jurídica</v>
      </c>
      <c r="D11" s="158">
        <f>'Quadro Geral'!L12</f>
        <v>354155.04</v>
      </c>
      <c r="E11" s="153"/>
      <c r="F11" s="24">
        <v>300595.03999999998</v>
      </c>
      <c r="G11" s="24">
        <v>11340</v>
      </c>
      <c r="H11" s="24"/>
      <c r="I11" s="24"/>
      <c r="J11" s="24"/>
      <c r="K11" s="24">
        <v>640</v>
      </c>
      <c r="L11" s="24"/>
      <c r="M11" s="24"/>
      <c r="N11" s="24"/>
      <c r="O11" s="24">
        <v>17500</v>
      </c>
      <c r="P11" s="24">
        <v>19080</v>
      </c>
      <c r="Q11" s="24"/>
      <c r="R11" s="24"/>
      <c r="S11" s="24">
        <v>5000</v>
      </c>
      <c r="T11" s="159">
        <f t="shared" si="1"/>
        <v>354155.04</v>
      </c>
      <c r="U11" s="24"/>
      <c r="V11" s="159">
        <f t="shared" si="2"/>
        <v>354155.04</v>
      </c>
      <c r="W11" s="160">
        <f t="shared" si="0"/>
        <v>2.9197472959598476E-2</v>
      </c>
    </row>
    <row r="12" spans="1:23" ht="31.5" customHeight="1" x14ac:dyDescent="0.25">
      <c r="A12" s="155" t="str">
        <f>'Quadro Geral'!A13</f>
        <v>Comissão de Ética</v>
      </c>
      <c r="B12" s="211" t="str">
        <f>'Quadro Geral'!B13</f>
        <v>A</v>
      </c>
      <c r="C12" s="155" t="str">
        <f>'Quadro Geral'!D13</f>
        <v>Operacionalização e processamento dos  processos éticos</v>
      </c>
      <c r="D12" s="158">
        <f>'Quadro Geral'!L13</f>
        <v>210470.2</v>
      </c>
      <c r="E12" s="153"/>
      <c r="F12" s="24">
        <v>92390.2</v>
      </c>
      <c r="G12" s="24"/>
      <c r="H12" s="24"/>
      <c r="I12" s="24">
        <v>56000</v>
      </c>
      <c r="J12" s="24"/>
      <c r="K12" s="24">
        <v>1080</v>
      </c>
      <c r="L12" s="24">
        <v>8000</v>
      </c>
      <c r="M12" s="24"/>
      <c r="N12" s="24"/>
      <c r="O12" s="24">
        <v>53000</v>
      </c>
      <c r="P12" s="24"/>
      <c r="Q12" s="24"/>
      <c r="R12" s="24"/>
      <c r="S12" s="24"/>
      <c r="T12" s="159">
        <f t="shared" si="1"/>
        <v>210470.2</v>
      </c>
      <c r="U12" s="24"/>
      <c r="V12" s="159">
        <f t="shared" si="2"/>
        <v>210470.2</v>
      </c>
      <c r="W12" s="160">
        <f t="shared" si="0"/>
        <v>1.735171684497638E-2</v>
      </c>
    </row>
    <row r="13" spans="1:23" ht="31.5" customHeight="1" x14ac:dyDescent="0.25">
      <c r="A13" s="155" t="str">
        <f>'Quadro Geral'!A14</f>
        <v>Comissão de Organização e Administração</v>
      </c>
      <c r="B13" s="211" t="str">
        <f>'Quadro Geral'!B14</f>
        <v>A</v>
      </c>
      <c r="C13" s="155" t="str">
        <f>'Quadro Geral'!D14</f>
        <v>Assessoramento organizacional-institucional</v>
      </c>
      <c r="D13" s="158">
        <f>'Quadro Geral'!L14</f>
        <v>58360</v>
      </c>
      <c r="E13" s="153"/>
      <c r="F13" s="24"/>
      <c r="G13" s="24"/>
      <c r="H13" s="24"/>
      <c r="I13" s="24">
        <v>30000</v>
      </c>
      <c r="J13" s="24"/>
      <c r="K13" s="24">
        <v>360</v>
      </c>
      <c r="L13" s="24">
        <v>8000</v>
      </c>
      <c r="M13" s="24"/>
      <c r="N13" s="24"/>
      <c r="O13" s="24">
        <f>10500+9500</f>
        <v>20000</v>
      </c>
      <c r="P13" s="24"/>
      <c r="Q13" s="24"/>
      <c r="R13" s="24"/>
      <c r="S13" s="24"/>
      <c r="T13" s="159">
        <f t="shared" si="1"/>
        <v>58360</v>
      </c>
      <c r="U13" s="24"/>
      <c r="V13" s="159">
        <f t="shared" si="2"/>
        <v>58360</v>
      </c>
      <c r="W13" s="160">
        <f t="shared" si="0"/>
        <v>4.8113518924428325E-3</v>
      </c>
    </row>
    <row r="14" spans="1:23" ht="31.5" customHeight="1" x14ac:dyDescent="0.25">
      <c r="A14" s="155" t="str">
        <f>'Quadro Geral'!A15</f>
        <v>Comissão de Exercício Profissional e Fiscalização</v>
      </c>
      <c r="B14" s="211" t="str">
        <f>'Quadro Geral'!B15</f>
        <v>A</v>
      </c>
      <c r="C14" s="155" t="str">
        <f>'Quadro Geral'!D15</f>
        <v>Operacionalização da Fiscalização e fomento da valorização profissional</v>
      </c>
      <c r="D14" s="158">
        <f>'Quadro Geral'!L15</f>
        <v>91720</v>
      </c>
      <c r="E14" s="153"/>
      <c r="F14" s="24"/>
      <c r="G14" s="24"/>
      <c r="H14" s="24"/>
      <c r="I14" s="24">
        <v>58000</v>
      </c>
      <c r="J14" s="24"/>
      <c r="K14" s="24">
        <v>720</v>
      </c>
      <c r="L14" s="24">
        <v>8000</v>
      </c>
      <c r="M14" s="24"/>
      <c r="N14" s="24"/>
      <c r="O14" s="24">
        <f>14000+11000</f>
        <v>25000</v>
      </c>
      <c r="P14" s="24"/>
      <c r="Q14" s="24"/>
      <c r="R14" s="24"/>
      <c r="S14" s="24"/>
      <c r="T14" s="159">
        <f t="shared" si="1"/>
        <v>91720</v>
      </c>
      <c r="U14" s="24"/>
      <c r="V14" s="159">
        <f t="shared" si="2"/>
        <v>91720</v>
      </c>
      <c r="W14" s="160">
        <f t="shared" si="0"/>
        <v>7.5616380324684132E-3</v>
      </c>
    </row>
    <row r="15" spans="1:23" ht="31.5" customHeight="1" x14ac:dyDescent="0.25">
      <c r="A15" s="155" t="str">
        <f>'Quadro Geral'!A16</f>
        <v>Comissão de Planejamento e Finanças</v>
      </c>
      <c r="B15" s="211" t="str">
        <f>'Quadro Geral'!B16</f>
        <v>A</v>
      </c>
      <c r="C15" s="155" t="str">
        <f>'Quadro Geral'!D16</f>
        <v>Operacionalização, Planejamento e Controle do CAU</v>
      </c>
      <c r="D15" s="158">
        <f>'Quadro Geral'!L16</f>
        <v>91860</v>
      </c>
      <c r="E15" s="153"/>
      <c r="F15" s="24"/>
      <c r="G15" s="24"/>
      <c r="H15" s="24"/>
      <c r="I15" s="24">
        <v>50000</v>
      </c>
      <c r="J15" s="24"/>
      <c r="K15" s="24">
        <v>360</v>
      </c>
      <c r="L15" s="24">
        <v>6000</v>
      </c>
      <c r="M15" s="24"/>
      <c r="N15" s="24"/>
      <c r="O15" s="24">
        <f>10500+25000</f>
        <v>35500</v>
      </c>
      <c r="P15" s="24"/>
      <c r="Q15" s="24"/>
      <c r="R15" s="24"/>
      <c r="S15" s="24"/>
      <c r="T15" s="159">
        <f t="shared" si="1"/>
        <v>91860</v>
      </c>
      <c r="U15" s="24"/>
      <c r="V15" s="159">
        <f t="shared" si="2"/>
        <v>91860</v>
      </c>
      <c r="W15" s="160">
        <f t="shared" si="0"/>
        <v>7.5731800006819498E-3</v>
      </c>
    </row>
    <row r="16" spans="1:23" ht="31.5" customHeight="1" x14ac:dyDescent="0.25">
      <c r="A16" s="155" t="str">
        <f>'Quadro Geral'!A17</f>
        <v>Comissão de Ensino</v>
      </c>
      <c r="B16" s="211" t="str">
        <f>'Quadro Geral'!B17</f>
        <v>A</v>
      </c>
      <c r="C16" s="155" t="str">
        <f>'Quadro Geral'!D17</f>
        <v>Fomento ao aperfeiçoamento e à formação profissional</v>
      </c>
      <c r="D16" s="158">
        <f>'Quadro Geral'!L17</f>
        <v>136220</v>
      </c>
      <c r="E16" s="153"/>
      <c r="F16" s="24"/>
      <c r="G16" s="24"/>
      <c r="H16" s="24"/>
      <c r="I16" s="24">
        <v>40000</v>
      </c>
      <c r="J16" s="24"/>
      <c r="K16" s="24">
        <v>720</v>
      </c>
      <c r="L16" s="24">
        <v>11000</v>
      </c>
      <c r="M16" s="24"/>
      <c r="N16" s="24"/>
      <c r="O16" s="24">
        <f>17500+10000</f>
        <v>27500</v>
      </c>
      <c r="P16" s="24">
        <v>57000</v>
      </c>
      <c r="Q16" s="24"/>
      <c r="R16" s="24"/>
      <c r="S16" s="24"/>
      <c r="T16" s="159">
        <f t="shared" si="1"/>
        <v>136220</v>
      </c>
      <c r="U16" s="24"/>
      <c r="V16" s="159">
        <f t="shared" si="2"/>
        <v>136220</v>
      </c>
      <c r="W16" s="160">
        <f t="shared" si="0"/>
        <v>1.1230335071771121E-2</v>
      </c>
    </row>
    <row r="17" spans="1:23" ht="31.5" customHeight="1" x14ac:dyDescent="0.25">
      <c r="A17" s="155" t="str">
        <f>'Quadro Geral'!A18</f>
        <v>Comissão Especial de Políticas para Arquitetura e Urbanismo - CEPAU</v>
      </c>
      <c r="B17" s="211" t="str">
        <f>'Quadro Geral'!B18</f>
        <v>A</v>
      </c>
      <c r="C17" s="155" t="str">
        <f>'Quadro Geral'!D18</f>
        <v>Fomento a ações que buscam promover melhorias da prática profissional e política urbana</v>
      </c>
      <c r="D17" s="158">
        <f>'Quadro Geral'!L18</f>
        <v>78120</v>
      </c>
      <c r="E17" s="153"/>
      <c r="F17" s="24"/>
      <c r="G17" s="24"/>
      <c r="H17" s="24"/>
      <c r="I17" s="24">
        <v>24580</v>
      </c>
      <c r="J17" s="24"/>
      <c r="K17" s="24">
        <v>540</v>
      </c>
      <c r="L17" s="24">
        <v>8000</v>
      </c>
      <c r="M17" s="24"/>
      <c r="N17" s="24"/>
      <c r="O17" s="24">
        <f>5000+15000</f>
        <v>20000</v>
      </c>
      <c r="P17" s="24">
        <v>25000</v>
      </c>
      <c r="Q17" s="24"/>
      <c r="R17" s="24"/>
      <c r="S17" s="24"/>
      <c r="T17" s="159">
        <f t="shared" si="1"/>
        <v>78120</v>
      </c>
      <c r="U17" s="24"/>
      <c r="V17" s="159">
        <f t="shared" si="2"/>
        <v>78120</v>
      </c>
      <c r="W17" s="160">
        <f t="shared" si="0"/>
        <v>6.4404182631534286E-3</v>
      </c>
    </row>
    <row r="18" spans="1:23" ht="31.5" customHeight="1" x14ac:dyDescent="0.25">
      <c r="A18" s="155" t="str">
        <f>'Quadro Geral'!A19</f>
        <v>Plenária</v>
      </c>
      <c r="B18" s="211" t="str">
        <f>'Quadro Geral'!B19</f>
        <v>A</v>
      </c>
      <c r="C18" s="155" t="str">
        <f>'Quadro Geral'!D19</f>
        <v>Operacionalização das reuniões institucionais regimentais</v>
      </c>
      <c r="D18" s="158">
        <f>'Quadro Geral'!L19</f>
        <v>358000</v>
      </c>
      <c r="E18" s="153"/>
      <c r="F18" s="24"/>
      <c r="G18" s="24"/>
      <c r="H18" s="24"/>
      <c r="I18" s="24">
        <v>190000</v>
      </c>
      <c r="J18" s="24"/>
      <c r="K18" s="24">
        <v>9000</v>
      </c>
      <c r="L18" s="24">
        <f>30000+19000</f>
        <v>49000</v>
      </c>
      <c r="M18" s="24"/>
      <c r="N18" s="24"/>
      <c r="O18" s="24">
        <v>110000</v>
      </c>
      <c r="P18" s="24"/>
      <c r="Q18" s="24"/>
      <c r="R18" s="24"/>
      <c r="S18" s="24"/>
      <c r="T18" s="159">
        <f t="shared" si="1"/>
        <v>358000</v>
      </c>
      <c r="U18" s="24"/>
      <c r="V18" s="159">
        <f t="shared" si="2"/>
        <v>358000</v>
      </c>
      <c r="W18" s="160">
        <f t="shared" si="0"/>
        <v>2.9514461574615045E-2</v>
      </c>
    </row>
    <row r="19" spans="1:23" ht="31.5" customHeight="1" x14ac:dyDescent="0.25">
      <c r="A19" s="155" t="str">
        <f>'Quadro Geral'!A20</f>
        <v>Plenária</v>
      </c>
      <c r="B19" s="211" t="str">
        <f>'Quadro Geral'!B20</f>
        <v>P</v>
      </c>
      <c r="C19" s="155" t="str">
        <f>'Quadro Geral'!D20</f>
        <v>Semana do Arquiteto</v>
      </c>
      <c r="D19" s="158">
        <f>'Quadro Geral'!L20</f>
        <v>100000</v>
      </c>
      <c r="E19" s="153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>
        <v>100000</v>
      </c>
      <c r="Q19" s="24"/>
      <c r="R19" s="24"/>
      <c r="S19" s="24"/>
      <c r="T19" s="159">
        <f t="shared" si="1"/>
        <v>100000</v>
      </c>
      <c r="U19" s="24"/>
      <c r="V19" s="159">
        <f t="shared" si="2"/>
        <v>100000</v>
      </c>
      <c r="W19" s="160">
        <f t="shared" si="0"/>
        <v>8.2442630096690069E-3</v>
      </c>
    </row>
    <row r="20" spans="1:23" ht="31.5" customHeight="1" x14ac:dyDescent="0.25">
      <c r="A20" s="155" t="str">
        <f>'Quadro Geral'!A21</f>
        <v>Plenária</v>
      </c>
      <c r="B20" s="211" t="str">
        <f>'Quadro Geral'!B21</f>
        <v>P</v>
      </c>
      <c r="C20" s="155" t="str">
        <f>'Quadro Geral'!D21</f>
        <v>Patrocínio</v>
      </c>
      <c r="D20" s="158">
        <f>'Quadro Geral'!L21</f>
        <v>150000</v>
      </c>
      <c r="E20" s="153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>
        <f>150000</f>
        <v>150000</v>
      </c>
      <c r="R20" s="24"/>
      <c r="S20" s="24"/>
      <c r="T20" s="159">
        <f t="shared" si="1"/>
        <v>150000</v>
      </c>
      <c r="U20" s="24"/>
      <c r="V20" s="159">
        <f t="shared" si="2"/>
        <v>150000</v>
      </c>
      <c r="W20" s="160">
        <f t="shared" si="0"/>
        <v>1.236639451450351E-2</v>
      </c>
    </row>
    <row r="21" spans="1:23" ht="31.5" customHeight="1" x14ac:dyDescent="0.25">
      <c r="A21" s="155" t="str">
        <f>'Quadro Geral'!A22</f>
        <v>Gerência  Financeira</v>
      </c>
      <c r="B21" s="211" t="str">
        <f>'Quadro Geral'!B22</f>
        <v>A</v>
      </c>
      <c r="C21" s="155" t="str">
        <f>'Quadro Geral'!D22</f>
        <v>Aporte ao Fundo de Apoio</v>
      </c>
      <c r="D21" s="158">
        <f>'Quadro Geral'!L22</f>
        <v>107947.31</v>
      </c>
      <c r="E21" s="153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>
        <v>107947.31</v>
      </c>
      <c r="R21" s="24"/>
      <c r="S21" s="24"/>
      <c r="T21" s="159">
        <f t="shared" si="1"/>
        <v>107947.31</v>
      </c>
      <c r="U21" s="24"/>
      <c r="V21" s="159">
        <f t="shared" si="2"/>
        <v>107947.31</v>
      </c>
      <c r="W21" s="160">
        <f t="shared" si="0"/>
        <v>8.8994601482627333E-3</v>
      </c>
    </row>
    <row r="22" spans="1:23" ht="31.5" customHeight="1" x14ac:dyDescent="0.25">
      <c r="A22" s="155" t="str">
        <f>'Quadro Geral'!A23</f>
        <v>Assessoria de Comunicação</v>
      </c>
      <c r="B22" s="211" t="str">
        <f>'Quadro Geral'!B23</f>
        <v>A</v>
      </c>
      <c r="C22" s="155" t="str">
        <f>'Quadro Geral'!D23</f>
        <v>Comunicação Institucional</v>
      </c>
      <c r="D22" s="158">
        <f>'Quadro Geral'!L23</f>
        <v>245510.95</v>
      </c>
      <c r="E22" s="153"/>
      <c r="F22" s="24">
        <v>223495.95</v>
      </c>
      <c r="G22" s="24">
        <v>2835</v>
      </c>
      <c r="H22" s="24"/>
      <c r="I22" s="24"/>
      <c r="J22" s="24"/>
      <c r="K22" s="24">
        <v>180</v>
      </c>
      <c r="L22" s="24"/>
      <c r="M22" s="24"/>
      <c r="N22" s="24"/>
      <c r="O22" s="24">
        <v>4000</v>
      </c>
      <c r="P22" s="24">
        <v>15000</v>
      </c>
      <c r="Q22" s="24"/>
      <c r="R22" s="24"/>
      <c r="S22" s="24"/>
      <c r="T22" s="159">
        <f t="shared" si="1"/>
        <v>245510.95</v>
      </c>
      <c r="U22" s="24"/>
      <c r="V22" s="159">
        <f t="shared" si="2"/>
        <v>245510.95</v>
      </c>
      <c r="W22" s="160">
        <f t="shared" si="0"/>
        <v>2.0240568435536972E-2</v>
      </c>
    </row>
    <row r="23" spans="1:23" ht="31.5" customHeight="1" x14ac:dyDescent="0.25">
      <c r="A23" s="155" t="str">
        <f>'Quadro Geral'!A24</f>
        <v>Direção Geral</v>
      </c>
      <c r="B23" s="211" t="str">
        <f>'Quadro Geral'!B24</f>
        <v>A</v>
      </c>
      <c r="C23" s="155" t="str">
        <f>'Quadro Geral'!D24</f>
        <v>Programa de Capacitação dos Colaboradores</v>
      </c>
      <c r="D23" s="158">
        <f>'Quadro Geral'!L24</f>
        <v>60000</v>
      </c>
      <c r="E23" s="153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>
        <v>60000</v>
      </c>
      <c r="Q23" s="24"/>
      <c r="R23" s="24"/>
      <c r="S23" s="24"/>
      <c r="T23" s="159">
        <f t="shared" si="1"/>
        <v>60000</v>
      </c>
      <c r="U23" s="24"/>
      <c r="V23" s="159">
        <f t="shared" si="2"/>
        <v>60000</v>
      </c>
      <c r="W23" s="160">
        <f t="shared" si="0"/>
        <v>4.9465578058014046E-3</v>
      </c>
    </row>
    <row r="24" spans="1:23" ht="31.5" customHeight="1" x14ac:dyDescent="0.25">
      <c r="A24" s="155" t="str">
        <f>'Quadro Geral'!A25</f>
        <v>Plenária</v>
      </c>
      <c r="B24" s="211" t="str">
        <f>'Quadro Geral'!B25</f>
        <v>P</v>
      </c>
      <c r="C24" s="155" t="str">
        <f>'Quadro Geral'!D25</f>
        <v>Programa de Assistência Técnica</v>
      </c>
      <c r="D24" s="158">
        <f>'Quadro Geral'!L25</f>
        <v>270000</v>
      </c>
      <c r="E24" s="153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>
        <v>270000</v>
      </c>
      <c r="Q24" s="24"/>
      <c r="R24" s="24"/>
      <c r="S24" s="24"/>
      <c r="T24" s="159">
        <f t="shared" si="1"/>
        <v>270000</v>
      </c>
      <c r="U24" s="24"/>
      <c r="V24" s="159">
        <f t="shared" si="2"/>
        <v>270000</v>
      </c>
      <c r="W24" s="160">
        <f t="shared" si="0"/>
        <v>2.225951012610632E-2</v>
      </c>
    </row>
    <row r="25" spans="1:23" ht="31.5" customHeight="1" x14ac:dyDescent="0.25">
      <c r="A25" s="155" t="str">
        <f>'Quadro Geral'!A26</f>
        <v>Gerência de Atendimento</v>
      </c>
      <c r="B25" s="211" t="str">
        <f>'Quadro Geral'!B26</f>
        <v>A</v>
      </c>
      <c r="C25" s="155" t="str">
        <f>'Quadro Geral'!D26</f>
        <v>Atendimento da Sociedade e arquitetos e urbanistas</v>
      </c>
      <c r="D25" s="158">
        <f>'Quadro Geral'!L26</f>
        <v>142000</v>
      </c>
      <c r="E25" s="153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>
        <v>142000</v>
      </c>
      <c r="Q25" s="24"/>
      <c r="R25" s="24"/>
      <c r="S25" s="24"/>
      <c r="T25" s="159">
        <f t="shared" si="1"/>
        <v>142000</v>
      </c>
      <c r="U25" s="24"/>
      <c r="V25" s="159">
        <f t="shared" si="2"/>
        <v>142000</v>
      </c>
      <c r="W25" s="160">
        <f t="shared" si="0"/>
        <v>1.1706853473729991E-2</v>
      </c>
    </row>
    <row r="26" spans="1:23" ht="31.5" customHeight="1" x14ac:dyDescent="0.25">
      <c r="A26" s="155" t="str">
        <f>'Quadro Geral'!A27</f>
        <v>Plenária</v>
      </c>
      <c r="B26" s="211" t="str">
        <f>'Quadro Geral'!B27</f>
        <v>P</v>
      </c>
      <c r="C26" s="155" t="str">
        <f>'Quadro Geral'!D27</f>
        <v>Reforma sede CAU/BA</v>
      </c>
      <c r="D26" s="158">
        <f>'Quadro Geral'!L27</f>
        <v>800000</v>
      </c>
      <c r="E26" s="153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159">
        <f t="shared" si="1"/>
        <v>0</v>
      </c>
      <c r="U26" s="24">
        <v>800000</v>
      </c>
      <c r="V26" s="159">
        <f t="shared" si="2"/>
        <v>800000</v>
      </c>
      <c r="W26" s="160">
        <f t="shared" si="0"/>
        <v>6.5954104077352055E-2</v>
      </c>
    </row>
    <row r="27" spans="1:23" ht="31.5" customHeight="1" x14ac:dyDescent="0.25">
      <c r="A27" s="155" t="str">
        <f>'Quadro Geral'!A28</f>
        <v>Plenária</v>
      </c>
      <c r="B27" s="211" t="str">
        <f>'Quadro Geral'!B28</f>
        <v>P</v>
      </c>
      <c r="C27" s="155" t="str">
        <f>'Quadro Geral'!D28</f>
        <v>Aquisição de Equipamentos</v>
      </c>
      <c r="D27" s="158">
        <f>'Quadro Geral'!L28</f>
        <v>640000</v>
      </c>
      <c r="E27" s="153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159">
        <f t="shared" si="1"/>
        <v>0</v>
      </c>
      <c r="U27" s="24">
        <v>640000</v>
      </c>
      <c r="V27" s="159">
        <f t="shared" si="2"/>
        <v>640000</v>
      </c>
      <c r="W27" s="160">
        <f t="shared" si="0"/>
        <v>5.2763283261881642E-2</v>
      </c>
    </row>
    <row r="28" spans="1:23" ht="31.5" customHeight="1" x14ac:dyDescent="0.25">
      <c r="A28" s="155" t="str">
        <f>'Quadro Geral'!A29</f>
        <v>Gerência Financeira</v>
      </c>
      <c r="B28" s="211" t="str">
        <f>'Quadro Geral'!B29</f>
        <v>A</v>
      </c>
      <c r="C28" s="155" t="str">
        <f>'Quadro Geral'!D29</f>
        <v>CSC -Fiscalização</v>
      </c>
      <c r="D28" s="158">
        <f>'Quadro Geral'!L29</f>
        <v>460772.09</v>
      </c>
      <c r="E28" s="153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>
        <v>460772.09</v>
      </c>
      <c r="R28" s="24"/>
      <c r="S28" s="24"/>
      <c r="T28" s="159">
        <f t="shared" si="1"/>
        <v>460772.09</v>
      </c>
      <c r="U28" s="24"/>
      <c r="V28" s="159">
        <f t="shared" si="2"/>
        <v>460772.09</v>
      </c>
      <c r="W28" s="160">
        <f t="shared" si="0"/>
        <v>3.7987262974748789E-2</v>
      </c>
    </row>
    <row r="29" spans="1:23" ht="31.5" customHeight="1" x14ac:dyDescent="0.25">
      <c r="A29" s="155" t="str">
        <f>'Quadro Geral'!A30</f>
        <v>Gerência Financeira</v>
      </c>
      <c r="B29" s="211" t="str">
        <f>'Quadro Geral'!B30</f>
        <v>A</v>
      </c>
      <c r="C29" s="155" t="str">
        <f>'Quadro Geral'!D30</f>
        <v>CSC- Atendimento</v>
      </c>
      <c r="D29" s="158">
        <f>'Quadro Geral'!L30</f>
        <v>56048.05</v>
      </c>
      <c r="E29" s="153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v>56048.05</v>
      </c>
      <c r="R29" s="24"/>
      <c r="S29" s="24"/>
      <c r="T29" s="159">
        <f t="shared" si="1"/>
        <v>56048.05</v>
      </c>
      <c r="U29" s="24"/>
      <c r="V29" s="159">
        <f t="shared" si="2"/>
        <v>56048.05</v>
      </c>
      <c r="W29" s="160">
        <f t="shared" si="0"/>
        <v>4.6207486537907898E-3</v>
      </c>
    </row>
    <row r="30" spans="1:23" ht="31.5" customHeight="1" x14ac:dyDescent="0.25">
      <c r="A30" s="155" t="str">
        <f>'Quadro Geral'!A31</f>
        <v>Gerência de Fiscalização</v>
      </c>
      <c r="B30" s="211" t="str">
        <f>'Quadro Geral'!B31</f>
        <v>A</v>
      </c>
      <c r="C30" s="155" t="str">
        <f>'Quadro Geral'!D31</f>
        <v>Plano de Fiscalização</v>
      </c>
      <c r="D30" s="158">
        <f>'Quadro Geral'!L31</f>
        <v>457699</v>
      </c>
      <c r="E30" s="153"/>
      <c r="F30" s="24">
        <v>363914</v>
      </c>
      <c r="G30" s="24">
        <v>8505</v>
      </c>
      <c r="H30" s="24">
        <v>1000</v>
      </c>
      <c r="I30" s="24"/>
      <c r="J30" s="24"/>
      <c r="K30" s="24">
        <v>480</v>
      </c>
      <c r="L30" s="24"/>
      <c r="M30" s="24"/>
      <c r="N30" s="24"/>
      <c r="O30" s="24">
        <v>17800</v>
      </c>
      <c r="P30" s="24">
        <v>66000</v>
      </c>
      <c r="Q30" s="24"/>
      <c r="R30" s="24"/>
      <c r="S30" s="24"/>
      <c r="T30" s="159">
        <f t="shared" si="1"/>
        <v>457699</v>
      </c>
      <c r="U30" s="24"/>
      <c r="V30" s="159">
        <f t="shared" si="2"/>
        <v>457699</v>
      </c>
      <c r="W30" s="160">
        <f t="shared" si="0"/>
        <v>3.7733909352624946E-2</v>
      </c>
    </row>
    <row r="31" spans="1:23" ht="31.5" customHeight="1" x14ac:dyDescent="0.25">
      <c r="A31" s="155" t="str">
        <f>'Quadro Geral'!A32</f>
        <v>Plenária</v>
      </c>
      <c r="B31" s="211" t="str">
        <f>'Quadro Geral'!B32</f>
        <v>A</v>
      </c>
      <c r="C31" s="155" t="str">
        <f>'Quadro Geral'!D32</f>
        <v>Reserva de Contingência</v>
      </c>
      <c r="D31" s="158">
        <f>'Quadro Geral'!L32</f>
        <v>41000</v>
      </c>
      <c r="E31" s="153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>
        <v>41000</v>
      </c>
      <c r="S31" s="24"/>
      <c r="T31" s="159">
        <f t="shared" si="1"/>
        <v>41000</v>
      </c>
      <c r="U31" s="24"/>
      <c r="V31" s="159">
        <f t="shared" si="2"/>
        <v>41000</v>
      </c>
      <c r="W31" s="160">
        <f t="shared" si="0"/>
        <v>3.380147833964293E-3</v>
      </c>
    </row>
    <row r="32" spans="1:23" ht="31.5" customHeight="1" x14ac:dyDescent="0.25">
      <c r="A32" s="155" t="str">
        <f>'Quadro Geral'!A33</f>
        <v>Presidência</v>
      </c>
      <c r="B32" s="211" t="str">
        <f>'Quadro Geral'!B33</f>
        <v>P</v>
      </c>
      <c r="C32" s="155" t="str">
        <f>'Quadro Geral'!D33</f>
        <v>Aquisição sede CAU/BA</v>
      </c>
      <c r="D32" s="158">
        <f>'Quadro Geral'!L33</f>
        <v>4000000</v>
      </c>
      <c r="E32" s="15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159">
        <f t="shared" si="1"/>
        <v>0</v>
      </c>
      <c r="U32" s="24">
        <v>4000000</v>
      </c>
      <c r="V32" s="159">
        <f t="shared" si="2"/>
        <v>4000000</v>
      </c>
      <c r="W32" s="160">
        <f t="shared" si="0"/>
        <v>0.3297705203867603</v>
      </c>
    </row>
    <row r="33" spans="1:23" ht="31.5" customHeight="1" x14ac:dyDescent="0.25">
      <c r="A33" s="155" t="str">
        <f>'Quadro Geral'!A34</f>
        <v>Gerência Administrativa</v>
      </c>
      <c r="B33" s="211" t="str">
        <f>'Quadro Geral'!B34</f>
        <v>A</v>
      </c>
      <c r="C33" s="155" t="str">
        <f>'Quadro Geral'!D34</f>
        <v>Manutenção Administrativa</v>
      </c>
      <c r="D33" s="158">
        <f>'Quadro Geral'!L34</f>
        <v>924412.60999999987</v>
      </c>
      <c r="E33" s="153"/>
      <c r="F33" s="24">
        <v>294171.39</v>
      </c>
      <c r="G33" s="24">
        <v>5760</v>
      </c>
      <c r="H33" s="24">
        <v>36500</v>
      </c>
      <c r="I33" s="24"/>
      <c r="J33" s="24"/>
      <c r="K33" s="24">
        <v>360</v>
      </c>
      <c r="L33" s="24"/>
      <c r="M33" s="24"/>
      <c r="N33" s="24"/>
      <c r="O33" s="24">
        <v>7000</v>
      </c>
      <c r="P33" s="24">
        <v>580621.22</v>
      </c>
      <c r="Q33" s="24"/>
      <c r="R33" s="24"/>
      <c r="S33" s="24"/>
      <c r="T33" s="159">
        <f t="shared" si="1"/>
        <v>924412.61</v>
      </c>
      <c r="U33" s="24"/>
      <c r="V33" s="159">
        <f t="shared" si="2"/>
        <v>924412.61</v>
      </c>
      <c r="W33" s="160">
        <f t="shared" si="0"/>
        <v>7.6211006862945824E-2</v>
      </c>
    </row>
    <row r="34" spans="1:23" ht="31.5" customHeight="1" x14ac:dyDescent="0.25">
      <c r="A34" s="155" t="str">
        <f>'Quadro Geral'!A35</f>
        <v>Plenário</v>
      </c>
      <c r="B34" s="211" t="str">
        <f>'Quadro Geral'!B35</f>
        <v>P</v>
      </c>
      <c r="C34" s="155" t="str">
        <f>'Quadro Geral'!D35</f>
        <v>Projeto Intercomissões</v>
      </c>
      <c r="D34" s="158">
        <f>'Quadro Geral'!L35</f>
        <v>130000</v>
      </c>
      <c r="E34" s="153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>
        <f>50000+80000</f>
        <v>130000</v>
      </c>
      <c r="Q34" s="24"/>
      <c r="R34" s="24"/>
      <c r="S34" s="24"/>
      <c r="T34" s="159">
        <f t="shared" si="1"/>
        <v>130000</v>
      </c>
      <c r="U34" s="24"/>
      <c r="V34" s="159">
        <f t="shared" si="2"/>
        <v>130000</v>
      </c>
      <c r="W34" s="160">
        <f t="shared" si="0"/>
        <v>1.071754191256971E-2</v>
      </c>
    </row>
    <row r="35" spans="1:23" ht="31.5" customHeight="1" x14ac:dyDescent="0.25">
      <c r="A35" s="155" t="str">
        <f>'Quadro Geral'!A36</f>
        <v>CCOE</v>
      </c>
      <c r="B35" s="211" t="str">
        <f>'Quadro Geral'!B36</f>
        <v>P</v>
      </c>
      <c r="C35" s="155" t="str">
        <f>'Quadro Geral'!D36</f>
        <v>Comissão Temporária de Comunicação e Eventos - CCOE</v>
      </c>
      <c r="D35" s="158">
        <f>'Quadro Geral'!L36</f>
        <v>6600</v>
      </c>
      <c r="E35" s="153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>
        <v>6600</v>
      </c>
      <c r="Q35" s="24"/>
      <c r="R35" s="24"/>
      <c r="S35" s="24"/>
      <c r="T35" s="159">
        <f t="shared" si="1"/>
        <v>6600</v>
      </c>
      <c r="U35" s="24"/>
      <c r="V35" s="159">
        <f t="shared" si="2"/>
        <v>6600</v>
      </c>
      <c r="W35" s="160">
        <f t="shared" si="0"/>
        <v>5.441213586381545E-4</v>
      </c>
    </row>
    <row r="36" spans="1:23" s="12" customFormat="1" x14ac:dyDescent="0.25">
      <c r="A36" s="363" t="s">
        <v>44</v>
      </c>
      <c r="B36" s="363"/>
      <c r="C36" s="363"/>
      <c r="D36" s="156">
        <f>SUM(D6:D35)</f>
        <v>12129646.989999998</v>
      </c>
      <c r="E36" s="153"/>
      <c r="F36" s="156">
        <f t="shared" ref="F36:W36" si="3">SUM(F6:F35)</f>
        <v>2578849.1</v>
      </c>
      <c r="G36" s="156">
        <f t="shared" ref="G36:V36" si="4">SUM(G6:G35)</f>
        <v>73805</v>
      </c>
      <c r="H36" s="156">
        <f t="shared" si="4"/>
        <v>37500</v>
      </c>
      <c r="I36" s="156">
        <f t="shared" si="4"/>
        <v>518580</v>
      </c>
      <c r="J36" s="156">
        <f t="shared" si="4"/>
        <v>0</v>
      </c>
      <c r="K36" s="156">
        <f t="shared" si="4"/>
        <v>18760</v>
      </c>
      <c r="L36" s="156">
        <f t="shared" si="4"/>
        <v>101000</v>
      </c>
      <c r="M36" s="156">
        <f t="shared" si="4"/>
        <v>6000</v>
      </c>
      <c r="N36" s="156">
        <f t="shared" si="4"/>
        <v>16000</v>
      </c>
      <c r="O36" s="156">
        <f t="shared" si="4"/>
        <v>459300</v>
      </c>
      <c r="P36" s="156">
        <f t="shared" si="4"/>
        <v>1927085.44</v>
      </c>
      <c r="Q36" s="156">
        <f t="shared" si="4"/>
        <v>774767.45000000007</v>
      </c>
      <c r="R36" s="156">
        <f t="shared" si="4"/>
        <v>41000</v>
      </c>
      <c r="S36" s="156">
        <f t="shared" si="4"/>
        <v>137000</v>
      </c>
      <c r="T36" s="156">
        <f t="shared" si="4"/>
        <v>6689646.9900000002</v>
      </c>
      <c r="U36" s="156">
        <f t="shared" si="4"/>
        <v>5440000</v>
      </c>
      <c r="V36" s="156">
        <f t="shared" si="4"/>
        <v>12129646.989999998</v>
      </c>
      <c r="W36" s="364">
        <f t="shared" si="3"/>
        <v>1.0000000000000002</v>
      </c>
    </row>
    <row r="37" spans="1:23" s="12" customFormat="1" x14ac:dyDescent="0.25">
      <c r="A37" s="363" t="s">
        <v>40</v>
      </c>
      <c r="B37" s="363"/>
      <c r="C37" s="363"/>
      <c r="D37" s="363"/>
      <c r="E37" s="154"/>
      <c r="F37" s="157">
        <f>IFERROR(F36/$V36,0)</f>
        <v>0.21260710242648212</v>
      </c>
      <c r="G37" s="157">
        <f t="shared" ref="G37:V37" si="5">IFERROR(G36/$V36,0)</f>
        <v>6.0846783142862104E-3</v>
      </c>
      <c r="H37" s="157">
        <f t="shared" si="5"/>
        <v>3.0915986286258776E-3</v>
      </c>
      <c r="I37" s="157">
        <f t="shared" si="5"/>
        <v>4.2753099115541537E-2</v>
      </c>
      <c r="J37" s="157">
        <f t="shared" si="5"/>
        <v>0</v>
      </c>
      <c r="K37" s="157">
        <f t="shared" si="5"/>
        <v>1.5466237406139057E-3</v>
      </c>
      <c r="L37" s="157">
        <f t="shared" si="5"/>
        <v>8.3267056397656972E-3</v>
      </c>
      <c r="M37" s="157">
        <f t="shared" si="5"/>
        <v>4.9465578058014044E-4</v>
      </c>
      <c r="N37" s="157">
        <f t="shared" si="5"/>
        <v>1.3190820815470411E-3</v>
      </c>
      <c r="O37" s="157">
        <f t="shared" si="5"/>
        <v>3.7865900003409753E-2</v>
      </c>
      <c r="P37" s="157">
        <f t="shared" si="5"/>
        <v>0.15887399209463723</v>
      </c>
      <c r="Q37" s="157">
        <f t="shared" si="5"/>
        <v>6.3873866291305828E-2</v>
      </c>
      <c r="R37" s="157">
        <f t="shared" si="5"/>
        <v>3.380147833964293E-3</v>
      </c>
      <c r="S37" s="157">
        <f t="shared" si="5"/>
        <v>1.1294640323246541E-2</v>
      </c>
      <c r="T37" s="157">
        <f t="shared" si="5"/>
        <v>0.55151209227400622</v>
      </c>
      <c r="U37" s="157">
        <f t="shared" si="5"/>
        <v>0.44848790772599401</v>
      </c>
      <c r="V37" s="157">
        <f t="shared" si="5"/>
        <v>1</v>
      </c>
      <c r="W37" s="364"/>
    </row>
    <row r="38" spans="1:23" s="17" customFormat="1" x14ac:dyDescent="0.25">
      <c r="A38" s="28" t="str">
        <f>'Quadro Geral'!A38</f>
        <v>LEGENDA: P = PROJETO/ A = ATIVIDADE/ PE = PROJETO ESTRATÉGICO</v>
      </c>
      <c r="B38" s="212"/>
      <c r="C38" s="28"/>
      <c r="D38" s="11"/>
      <c r="E38" s="154"/>
      <c r="F38" s="11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11"/>
      <c r="U38" s="11"/>
      <c r="V38" s="29"/>
      <c r="W38" s="28"/>
    </row>
    <row r="87" x14ac:dyDescent="0.25"/>
  </sheetData>
  <mergeCells count="19">
    <mergeCell ref="I4:P4"/>
    <mergeCell ref="Q4:Q5"/>
    <mergeCell ref="R4:R5"/>
    <mergeCell ref="A36:C36"/>
    <mergeCell ref="W36:W37"/>
    <mergeCell ref="A37:D37"/>
    <mergeCell ref="A1:W1"/>
    <mergeCell ref="H4:H5"/>
    <mergeCell ref="S4:S5"/>
    <mergeCell ref="T4:T5"/>
    <mergeCell ref="U4:U5"/>
    <mergeCell ref="V4:V5"/>
    <mergeCell ref="A4:A5"/>
    <mergeCell ref="C4:C5"/>
    <mergeCell ref="D4:D5"/>
    <mergeCell ref="F4:G4"/>
    <mergeCell ref="A2:W2"/>
    <mergeCell ref="W4:W5"/>
    <mergeCell ref="B4:B5"/>
  </mergeCells>
  <conditionalFormatting sqref="F38">
    <cfRule type="cellIs" dxfId="2" priority="3" operator="equal">
      <formula>TRUE</formula>
    </cfRule>
  </conditionalFormatting>
  <conditionalFormatting sqref="T38:V38">
    <cfRule type="cellIs" dxfId="1" priority="1" operator="equal">
      <formula>TRUE</formula>
    </cfRule>
  </conditionalFormatting>
  <conditionalFormatting sqref="D38">
    <cfRule type="cellIs" dxfId="0" priority="4" operator="equal">
      <formula>TRUE</formula>
    </cfRule>
  </conditionalFormatting>
  <pageMargins left="0.51181102362204722" right="0.51181102362204722" top="0.78740157480314965" bottom="0.78740157480314965" header="0.31496062992125984" footer="0.31496062992125984"/>
  <pageSetup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W34"/>
  <sheetViews>
    <sheetView zoomScaleNormal="100" workbookViewId="0">
      <selection activeCell="D1" sqref="D1:D13"/>
    </sheetView>
  </sheetViews>
  <sheetFormatPr defaultRowHeight="15.75" x14ac:dyDescent="0.25"/>
  <cols>
    <col min="1" max="1" width="48.7109375" style="2" bestFit="1" customWidth="1"/>
    <col min="2" max="2" width="42.5703125" style="2" bestFit="1" customWidth="1"/>
    <col min="3" max="3" width="46.28515625" style="2" bestFit="1" customWidth="1"/>
    <col min="4" max="4" width="127.85546875" style="2" customWidth="1"/>
    <col min="5" max="8" width="9.140625" style="2"/>
    <col min="9" max="9" width="13.5703125" style="2" bestFit="1" customWidth="1"/>
    <col min="10" max="49" width="9.140625" style="2"/>
  </cols>
  <sheetData>
    <row r="1" spans="1:7" x14ac:dyDescent="0.25">
      <c r="A1" s="2" t="s">
        <v>90</v>
      </c>
      <c r="B1" s="4" t="s">
        <v>61</v>
      </c>
      <c r="C1" s="4" t="s">
        <v>138</v>
      </c>
      <c r="D1" s="2" t="s">
        <v>28</v>
      </c>
      <c r="E1" s="2" t="s">
        <v>271</v>
      </c>
      <c r="G1" s="2" t="s">
        <v>319</v>
      </c>
    </row>
    <row r="2" spans="1:7" x14ac:dyDescent="0.25">
      <c r="A2" s="2" t="s">
        <v>98</v>
      </c>
      <c r="B2" s="4" t="s">
        <v>41</v>
      </c>
      <c r="C2" s="4" t="s">
        <v>139</v>
      </c>
      <c r="D2" s="2" t="s">
        <v>108</v>
      </c>
      <c r="E2" s="2" t="s">
        <v>272</v>
      </c>
      <c r="G2" s="2" t="s">
        <v>317</v>
      </c>
    </row>
    <row r="3" spans="1:7" x14ac:dyDescent="0.25">
      <c r="A3" s="2" t="s">
        <v>99</v>
      </c>
      <c r="B3" s="3" t="s">
        <v>36</v>
      </c>
      <c r="C3" s="4" t="s">
        <v>109</v>
      </c>
      <c r="D3" s="2" t="s">
        <v>27</v>
      </c>
      <c r="E3" s="2" t="s">
        <v>273</v>
      </c>
      <c r="G3" s="2" t="s">
        <v>316</v>
      </c>
    </row>
    <row r="4" spans="1:7" x14ac:dyDescent="0.25">
      <c r="A4" s="2" t="s">
        <v>100</v>
      </c>
      <c r="B4" s="5" t="s">
        <v>130</v>
      </c>
      <c r="C4" s="4" t="s">
        <v>110</v>
      </c>
      <c r="D4" s="2" t="s">
        <v>30</v>
      </c>
      <c r="E4" s="2" t="s">
        <v>274</v>
      </c>
      <c r="G4" s="2" t="s">
        <v>314</v>
      </c>
    </row>
    <row r="5" spans="1:7" x14ac:dyDescent="0.25">
      <c r="A5" s="2" t="s">
        <v>91</v>
      </c>
      <c r="B5" s="5" t="s">
        <v>131</v>
      </c>
      <c r="C5" s="4" t="s">
        <v>111</v>
      </c>
      <c r="D5" s="2" t="s">
        <v>29</v>
      </c>
      <c r="E5" s="2" t="s">
        <v>275</v>
      </c>
      <c r="G5" s="2" t="s">
        <v>312</v>
      </c>
    </row>
    <row r="6" spans="1:7" x14ac:dyDescent="0.25">
      <c r="A6" s="2" t="s">
        <v>101</v>
      </c>
      <c r="B6" s="5" t="s">
        <v>132</v>
      </c>
      <c r="C6" s="4" t="s">
        <v>112</v>
      </c>
      <c r="D6" s="2" t="s">
        <v>114</v>
      </c>
      <c r="E6" s="2" t="s">
        <v>276</v>
      </c>
      <c r="G6" s="2" t="s">
        <v>310</v>
      </c>
    </row>
    <row r="7" spans="1:7" x14ac:dyDescent="0.25">
      <c r="A7" s="2" t="s">
        <v>219</v>
      </c>
      <c r="B7" s="5" t="s">
        <v>133</v>
      </c>
      <c r="C7" s="4" t="s">
        <v>113</v>
      </c>
      <c r="D7" s="2" t="s">
        <v>21</v>
      </c>
      <c r="G7" s="2" t="s">
        <v>309</v>
      </c>
    </row>
    <row r="8" spans="1:7" x14ac:dyDescent="0.25">
      <c r="A8" s="2" t="s">
        <v>92</v>
      </c>
      <c r="B8" s="5" t="s">
        <v>134</v>
      </c>
      <c r="C8" s="4" t="s">
        <v>115</v>
      </c>
      <c r="D8" s="2" t="s">
        <v>26</v>
      </c>
      <c r="G8" s="2" t="s">
        <v>308</v>
      </c>
    </row>
    <row r="9" spans="1:7" x14ac:dyDescent="0.25">
      <c r="A9" s="2" t="s">
        <v>102</v>
      </c>
      <c r="B9" s="5" t="s">
        <v>142</v>
      </c>
      <c r="C9" s="4" t="s">
        <v>116</v>
      </c>
      <c r="D9" s="2" t="s">
        <v>141</v>
      </c>
      <c r="G9" s="2" t="s">
        <v>306</v>
      </c>
    </row>
    <row r="10" spans="1:7" x14ac:dyDescent="0.25">
      <c r="A10" s="2" t="s">
        <v>93</v>
      </c>
      <c r="B10" s="4" t="s">
        <v>38</v>
      </c>
      <c r="C10" s="4" t="s">
        <v>117</v>
      </c>
      <c r="D10" s="2" t="s">
        <v>18</v>
      </c>
      <c r="G10" s="2" t="s">
        <v>305</v>
      </c>
    </row>
    <row r="11" spans="1:7" x14ac:dyDescent="0.25">
      <c r="A11" s="2" t="s">
        <v>94</v>
      </c>
      <c r="B11" s="4" t="s">
        <v>2</v>
      </c>
      <c r="C11" s="4" t="s">
        <v>118</v>
      </c>
      <c r="D11" s="2" t="s">
        <v>120</v>
      </c>
      <c r="G11" s="2" t="s">
        <v>302</v>
      </c>
    </row>
    <row r="12" spans="1:7" x14ac:dyDescent="0.25">
      <c r="A12" s="2" t="s">
        <v>103</v>
      </c>
      <c r="C12" s="4" t="s">
        <v>119</v>
      </c>
      <c r="D12" s="2" t="s">
        <v>25</v>
      </c>
      <c r="G12" s="2" t="s">
        <v>300</v>
      </c>
    </row>
    <row r="13" spans="1:7" x14ac:dyDescent="0.25">
      <c r="A13" s="2" t="s">
        <v>104</v>
      </c>
      <c r="B13" s="3"/>
      <c r="C13" s="4" t="s">
        <v>121</v>
      </c>
      <c r="D13" s="2" t="s">
        <v>140</v>
      </c>
      <c r="G13" s="2" t="s">
        <v>298</v>
      </c>
    </row>
    <row r="14" spans="1:7" x14ac:dyDescent="0.25">
      <c r="A14" s="2" t="s">
        <v>95</v>
      </c>
      <c r="B14" s="3"/>
      <c r="C14" s="4" t="s">
        <v>122</v>
      </c>
      <c r="G14" s="2" t="s">
        <v>296</v>
      </c>
    </row>
    <row r="15" spans="1:7" x14ac:dyDescent="0.25">
      <c r="A15" s="2" t="s">
        <v>105</v>
      </c>
      <c r="B15" s="3"/>
      <c r="C15" s="4" t="s">
        <v>123</v>
      </c>
      <c r="G15" s="2" t="s">
        <v>295</v>
      </c>
    </row>
    <row r="16" spans="1:7" x14ac:dyDescent="0.25">
      <c r="A16" s="2" t="s">
        <v>96</v>
      </c>
      <c r="B16" s="3"/>
      <c r="C16" s="4" t="s">
        <v>124</v>
      </c>
      <c r="G16" s="2" t="s">
        <v>273</v>
      </c>
    </row>
    <row r="17" spans="1:7" x14ac:dyDescent="0.25">
      <c r="A17" s="2" t="s">
        <v>97</v>
      </c>
      <c r="B17" s="3"/>
      <c r="C17" s="4" t="s">
        <v>125</v>
      </c>
      <c r="G17" s="2" t="s">
        <v>294</v>
      </c>
    </row>
    <row r="18" spans="1:7" x14ac:dyDescent="0.25">
      <c r="B18" s="3"/>
      <c r="C18" s="4" t="s">
        <v>126</v>
      </c>
      <c r="D18" s="2" t="s">
        <v>28</v>
      </c>
      <c r="G18" s="2" t="s">
        <v>293</v>
      </c>
    </row>
    <row r="19" spans="1:7" x14ac:dyDescent="0.25">
      <c r="C19" s="4" t="s">
        <v>127</v>
      </c>
      <c r="D19" s="2" t="s">
        <v>108</v>
      </c>
      <c r="G19" s="2" t="s">
        <v>292</v>
      </c>
    </row>
    <row r="20" spans="1:7" x14ac:dyDescent="0.25">
      <c r="C20" s="4" t="s">
        <v>128</v>
      </c>
      <c r="D20" s="2" t="s">
        <v>24</v>
      </c>
      <c r="G20" s="2" t="s">
        <v>291</v>
      </c>
    </row>
    <row r="21" spans="1:7" x14ac:dyDescent="0.25">
      <c r="C21" s="4" t="s">
        <v>129</v>
      </c>
      <c r="D21" s="2" t="s">
        <v>27</v>
      </c>
      <c r="G21" s="2" t="s">
        <v>290</v>
      </c>
    </row>
    <row r="22" spans="1:7" x14ac:dyDescent="0.25">
      <c r="D22" s="2" t="s">
        <v>30</v>
      </c>
      <c r="G22" s="2" t="s">
        <v>289</v>
      </c>
    </row>
    <row r="23" spans="1:7" x14ac:dyDescent="0.25">
      <c r="D23" s="2" t="s">
        <v>29</v>
      </c>
      <c r="G23" s="2" t="s">
        <v>288</v>
      </c>
    </row>
    <row r="24" spans="1:7" x14ac:dyDescent="0.25">
      <c r="D24" s="2" t="s">
        <v>114</v>
      </c>
      <c r="G24" s="2" t="s">
        <v>287</v>
      </c>
    </row>
    <row r="25" spans="1:7" x14ac:dyDescent="0.25">
      <c r="D25" s="2" t="s">
        <v>21</v>
      </c>
      <c r="G25" s="2" t="s">
        <v>286</v>
      </c>
    </row>
    <row r="26" spans="1:7" x14ac:dyDescent="0.25">
      <c r="D26" s="2" t="s">
        <v>26</v>
      </c>
      <c r="G26" s="2" t="s">
        <v>285</v>
      </c>
    </row>
    <row r="27" spans="1:7" x14ac:dyDescent="0.25">
      <c r="D27" s="2" t="s">
        <v>141</v>
      </c>
      <c r="G27" s="2" t="s">
        <v>284</v>
      </c>
    </row>
    <row r="28" spans="1:7" x14ac:dyDescent="0.25">
      <c r="D28" s="2" t="s">
        <v>18</v>
      </c>
      <c r="G28" s="2" t="s">
        <v>361</v>
      </c>
    </row>
    <row r="29" spans="1:7" x14ac:dyDescent="0.25">
      <c r="D29" s="2" t="s">
        <v>120</v>
      </c>
    </row>
    <row r="30" spans="1:7" x14ac:dyDescent="0.25">
      <c r="D30" s="2" t="s">
        <v>25</v>
      </c>
    </row>
    <row r="31" spans="1:7" x14ac:dyDescent="0.25">
      <c r="D31" s="2" t="s">
        <v>31</v>
      </c>
    </row>
    <row r="32" spans="1:7" x14ac:dyDescent="0.25">
      <c r="D32" s="2" t="s">
        <v>19</v>
      </c>
    </row>
    <row r="33" spans="1:4" x14ac:dyDescent="0.25">
      <c r="D33" s="2" t="s">
        <v>140</v>
      </c>
    </row>
    <row r="34" spans="1:4" x14ac:dyDescent="0.25">
      <c r="A34" s="2" t="s">
        <v>371</v>
      </c>
    </row>
  </sheetData>
  <sortState ref="D18:D33">
    <sortCondition ref="D18:D33"/>
  </sortState>
  <pageMargins left="0.511811024" right="0.511811024" top="0.78740157499999996" bottom="0.78740157499999996" header="0.31496062000000002" footer="0.31496062000000002"/>
  <pageSetup paperSize="2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11"/>
  <sheetViews>
    <sheetView showGridLines="0" zoomScale="80" zoomScaleNormal="80" workbookViewId="0">
      <selection activeCell="C5" sqref="C5:J5"/>
    </sheetView>
  </sheetViews>
  <sheetFormatPr defaultColWidth="0" defaultRowHeight="15.75" zeroHeight="1" x14ac:dyDescent="0.25"/>
  <cols>
    <col min="1" max="1" width="96.140625" style="41" customWidth="1"/>
    <col min="2" max="9" width="9.140625" style="41" customWidth="1"/>
    <col min="10" max="10" width="17.7109375" style="41" customWidth="1"/>
    <col min="11" max="12" width="0" style="41" hidden="1" customWidth="1"/>
    <col min="13" max="16384" width="9.140625" style="41" hidden="1"/>
  </cols>
  <sheetData>
    <row r="1" spans="1:11" ht="75.75" customHeight="1" thickBot="1" x14ac:dyDescent="0.3"/>
    <row r="2" spans="1:11" ht="15.75" customHeight="1" x14ac:dyDescent="0.25">
      <c r="A2" s="248" t="s">
        <v>379</v>
      </c>
      <c r="C2" s="249" t="s">
        <v>376</v>
      </c>
      <c r="D2" s="250"/>
      <c r="E2" s="250"/>
      <c r="F2" s="250"/>
      <c r="G2" s="250"/>
      <c r="H2" s="250"/>
      <c r="I2" s="250"/>
      <c r="J2" s="251"/>
    </row>
    <row r="3" spans="1:11" ht="15" customHeight="1" x14ac:dyDescent="0.25">
      <c r="A3" s="248"/>
      <c r="C3" s="252"/>
      <c r="D3" s="253"/>
      <c r="E3" s="253"/>
      <c r="F3" s="253"/>
      <c r="G3" s="253"/>
      <c r="H3" s="253"/>
      <c r="I3" s="253"/>
      <c r="J3" s="254"/>
    </row>
    <row r="4" spans="1:11" ht="27.75" customHeight="1" x14ac:dyDescent="0.25">
      <c r="A4" s="255" t="s">
        <v>380</v>
      </c>
      <c r="C4" s="256" t="s">
        <v>412</v>
      </c>
      <c r="D4" s="257"/>
      <c r="E4" s="257"/>
      <c r="F4" s="257"/>
      <c r="G4" s="257"/>
      <c r="H4" s="257"/>
      <c r="I4" s="257"/>
      <c r="J4" s="258"/>
    </row>
    <row r="5" spans="1:11" ht="35.25" customHeight="1" thickBot="1" x14ac:dyDescent="0.3">
      <c r="A5" s="255"/>
      <c r="C5" s="259" t="s">
        <v>385</v>
      </c>
      <c r="D5" s="260"/>
      <c r="E5" s="260"/>
      <c r="F5" s="260"/>
      <c r="G5" s="260"/>
      <c r="H5" s="260"/>
      <c r="I5" s="260"/>
      <c r="J5" s="261"/>
    </row>
    <row r="6" spans="1:11" ht="58.5" customHeight="1" x14ac:dyDescent="0.25">
      <c r="A6" s="39" t="s">
        <v>377</v>
      </c>
      <c r="C6" s="262"/>
      <c r="D6" s="263"/>
      <c r="E6" s="263"/>
      <c r="F6" s="263"/>
      <c r="G6" s="263"/>
      <c r="H6" s="263"/>
      <c r="I6" s="263"/>
      <c r="J6" s="264"/>
    </row>
    <row r="7" spans="1:11" ht="36.75" customHeight="1" x14ac:dyDescent="0.25">
      <c r="A7" s="40" t="s">
        <v>381</v>
      </c>
      <c r="C7" s="247"/>
      <c r="D7" s="247"/>
      <c r="E7" s="247"/>
      <c r="F7" s="247"/>
      <c r="G7" s="247"/>
      <c r="H7" s="247"/>
      <c r="I7" s="247"/>
      <c r="J7" s="247"/>
      <c r="K7" s="42"/>
    </row>
    <row r="8" spans="1:11" ht="52.5" customHeight="1" x14ac:dyDescent="0.25">
      <c r="A8" s="39" t="s">
        <v>378</v>
      </c>
    </row>
    <row r="9" spans="1:11" ht="57.75" customHeight="1" x14ac:dyDescent="0.25">
      <c r="A9" s="40" t="s">
        <v>382</v>
      </c>
    </row>
    <row r="10" spans="1:11" ht="54" customHeight="1" x14ac:dyDescent="0.25">
      <c r="A10" s="54" t="s">
        <v>383</v>
      </c>
    </row>
    <row r="11" spans="1:11" ht="96" customHeight="1" x14ac:dyDescent="0.25">
      <c r="A11" s="54" t="s">
        <v>384</v>
      </c>
    </row>
  </sheetData>
  <mergeCells count="7">
    <mergeCell ref="C7:J7"/>
    <mergeCell ref="A2:A3"/>
    <mergeCell ref="C2:J3"/>
    <mergeCell ref="A4:A5"/>
    <mergeCell ref="C4:J4"/>
    <mergeCell ref="C5:J5"/>
    <mergeCell ref="C6:J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P35"/>
  <sheetViews>
    <sheetView showGridLines="0" topLeftCell="AH2" zoomScale="110" zoomScaleNormal="110" workbookViewId="0">
      <selection activeCell="K21" sqref="K21"/>
    </sheetView>
  </sheetViews>
  <sheetFormatPr defaultColWidth="0" defaultRowHeight="15.75" zeroHeight="1" x14ac:dyDescent="0.25"/>
  <cols>
    <col min="1" max="1" width="4.5703125" style="183" hidden="1" customWidth="1"/>
    <col min="2" max="2" width="17" style="184" hidden="1" customWidth="1"/>
    <col min="3" max="3" width="15.7109375" style="184" hidden="1" customWidth="1"/>
    <col min="4" max="4" width="17" style="184" hidden="1" customWidth="1"/>
    <col min="5" max="5" width="15.7109375" style="184" hidden="1" customWidth="1"/>
    <col min="6" max="6" width="13.7109375" style="184" hidden="1" customWidth="1"/>
    <col min="7" max="7" width="16.5703125" style="184" hidden="1" customWidth="1"/>
    <col min="8" max="8" width="17" style="184" hidden="1" customWidth="1"/>
    <col min="9" max="9" width="15.7109375" style="184" hidden="1" customWidth="1"/>
    <col min="10" max="10" width="17" style="47" hidden="1" customWidth="1"/>
    <col min="11" max="11" width="15.140625" style="185" hidden="1" customWidth="1"/>
    <col min="12" max="12" width="15.7109375" style="47" hidden="1" customWidth="1"/>
    <col min="13" max="13" width="15.28515625" style="47" hidden="1" customWidth="1"/>
    <col min="14" max="14" width="15.7109375" style="47" hidden="1" customWidth="1"/>
    <col min="15" max="15" width="3.7109375" style="47" hidden="1" customWidth="1"/>
    <col min="16" max="16" width="15.7109375" style="47" hidden="1" customWidth="1"/>
    <col min="17" max="17" width="14.5703125" style="47" hidden="1" customWidth="1"/>
    <col min="18" max="18" width="3.7109375" style="47" hidden="1" customWidth="1"/>
    <col min="19" max="19" width="17.140625" style="47" hidden="1" customWidth="1"/>
    <col min="20" max="20" width="3.7109375" style="47" hidden="1" customWidth="1"/>
    <col min="21" max="22" width="15.42578125" style="187" hidden="1" customWidth="1"/>
    <col min="23" max="23" width="15.42578125" style="188" hidden="1" customWidth="1"/>
    <col min="24" max="24" width="15.42578125" style="52" hidden="1" customWidth="1"/>
    <col min="25" max="25" width="15.42578125" style="189" hidden="1" customWidth="1"/>
    <col min="26" max="26" width="15.42578125" style="52" hidden="1" customWidth="1"/>
    <col min="27" max="27" width="3.7109375" style="1" hidden="1" customWidth="1"/>
    <col min="28" max="28" width="21" style="1" hidden="1" customWidth="1"/>
    <col min="29" max="29" width="3.7109375" style="1" hidden="1" customWidth="1"/>
    <col min="30" max="30" width="21.85546875" style="1" hidden="1" customWidth="1"/>
    <col min="31" max="31" width="3.7109375" style="1" hidden="1" customWidth="1"/>
    <col min="32" max="32" width="13.7109375" style="52" hidden="1" customWidth="1"/>
    <col min="33" max="33" width="9.85546875" style="1" hidden="1" customWidth="1"/>
    <col min="34" max="34" width="40.140625" style="1" bestFit="1" customWidth="1"/>
    <col min="35" max="35" width="14.85546875" style="1" bestFit="1" customWidth="1"/>
    <col min="36" max="36" width="4.85546875" style="1" customWidth="1"/>
    <col min="37" max="37" width="39" style="1" bestFit="1" customWidth="1"/>
    <col min="38" max="38" width="15.5703125" style="1" bestFit="1" customWidth="1"/>
    <col min="39" max="41" width="9.140625" style="1" hidden="1" customWidth="1"/>
    <col min="42" max="42" width="12.42578125" style="1" hidden="1" customWidth="1"/>
    <col min="43" max="16384" width="9.140625" style="1" hidden="1"/>
  </cols>
  <sheetData>
    <row r="1" spans="1:42" hidden="1" x14ac:dyDescent="0.25">
      <c r="A1" s="266" t="s">
        <v>341</v>
      </c>
      <c r="B1" s="267">
        <v>0.8</v>
      </c>
      <c r="C1" s="267"/>
      <c r="D1" s="267"/>
      <c r="E1" s="267"/>
      <c r="F1" s="267"/>
      <c r="G1" s="267"/>
      <c r="H1" s="267"/>
      <c r="I1" s="267"/>
      <c r="J1" s="267"/>
      <c r="K1" s="192"/>
      <c r="L1" s="271" t="s">
        <v>340</v>
      </c>
      <c r="M1" s="271"/>
      <c r="N1" s="271"/>
      <c r="O1" s="192"/>
      <c r="P1" s="271" t="s">
        <v>339</v>
      </c>
      <c r="Q1" s="271"/>
      <c r="R1" s="193"/>
      <c r="S1" s="271" t="s">
        <v>338</v>
      </c>
      <c r="T1" s="193"/>
      <c r="U1" s="272" t="s">
        <v>337</v>
      </c>
      <c r="V1" s="272"/>
      <c r="W1" s="272"/>
      <c r="X1" s="272"/>
      <c r="Y1" s="272"/>
      <c r="Z1" s="272"/>
      <c r="AF1" s="48"/>
    </row>
    <row r="2" spans="1:42" s="49" customFormat="1" x14ac:dyDescent="0.25">
      <c r="A2" s="266"/>
      <c r="B2" s="268" t="s">
        <v>335</v>
      </c>
      <c r="C2" s="268"/>
      <c r="D2" s="268"/>
      <c r="E2" s="268" t="s">
        <v>334</v>
      </c>
      <c r="F2" s="268"/>
      <c r="G2" s="268"/>
      <c r="H2" s="268" t="s">
        <v>333</v>
      </c>
      <c r="I2" s="268" t="s">
        <v>336</v>
      </c>
      <c r="J2" s="270" t="s">
        <v>387</v>
      </c>
      <c r="K2" s="194"/>
      <c r="L2" s="271"/>
      <c r="M2" s="271"/>
      <c r="N2" s="271"/>
      <c r="O2" s="194"/>
      <c r="P2" s="271"/>
      <c r="Q2" s="271"/>
      <c r="R2" s="195"/>
      <c r="S2" s="271"/>
      <c r="T2" s="195"/>
      <c r="U2" s="268" t="s">
        <v>335</v>
      </c>
      <c r="V2" s="268"/>
      <c r="W2" s="268"/>
      <c r="X2" s="268" t="s">
        <v>334</v>
      </c>
      <c r="Y2" s="268"/>
      <c r="Z2" s="196" t="s">
        <v>333</v>
      </c>
      <c r="AB2" s="273" t="s">
        <v>311</v>
      </c>
      <c r="AD2" s="273" t="s">
        <v>427</v>
      </c>
      <c r="AF2" s="269" t="s">
        <v>428</v>
      </c>
      <c r="AH2" s="179" t="s">
        <v>332</v>
      </c>
      <c r="AI2" s="165" t="s">
        <v>312</v>
      </c>
      <c r="AK2" s="265" t="s">
        <v>331</v>
      </c>
      <c r="AL2" s="265"/>
    </row>
    <row r="3" spans="1:42" s="50" customFormat="1" ht="47.25" x14ac:dyDescent="0.25">
      <c r="A3" s="266"/>
      <c r="B3" s="197" t="s">
        <v>330</v>
      </c>
      <c r="C3" s="197" t="s">
        <v>329</v>
      </c>
      <c r="D3" s="197" t="s">
        <v>386</v>
      </c>
      <c r="E3" s="197" t="s">
        <v>330</v>
      </c>
      <c r="F3" s="197" t="s">
        <v>329</v>
      </c>
      <c r="G3" s="197" t="s">
        <v>386</v>
      </c>
      <c r="H3" s="268"/>
      <c r="I3" s="268"/>
      <c r="J3" s="268"/>
      <c r="K3" s="198"/>
      <c r="L3" s="197" t="s">
        <v>328</v>
      </c>
      <c r="M3" s="197" t="s">
        <v>327</v>
      </c>
      <c r="N3" s="197" t="s">
        <v>326</v>
      </c>
      <c r="O3" s="198"/>
      <c r="P3" s="197" t="s">
        <v>325</v>
      </c>
      <c r="Q3" s="197" t="s">
        <v>324</v>
      </c>
      <c r="R3" s="199"/>
      <c r="S3" s="200" t="s">
        <v>323</v>
      </c>
      <c r="T3" s="199"/>
      <c r="U3" s="201" t="s">
        <v>342</v>
      </c>
      <c r="V3" s="201" t="s">
        <v>343</v>
      </c>
      <c r="W3" s="202" t="s">
        <v>322</v>
      </c>
      <c r="X3" s="203" t="s">
        <v>321</v>
      </c>
      <c r="Y3" s="204" t="s">
        <v>322</v>
      </c>
      <c r="Z3" s="203" t="s">
        <v>321</v>
      </c>
      <c r="AB3" s="273"/>
      <c r="AD3" s="273"/>
      <c r="AF3" s="269"/>
      <c r="AH3" s="172" t="s">
        <v>8</v>
      </c>
      <c r="AI3" s="173">
        <f>AI4+AI14+AI15+AI16</f>
        <v>5871538.5199999996</v>
      </c>
      <c r="AK3" s="172" t="s">
        <v>320</v>
      </c>
      <c r="AL3" s="175">
        <f>VLOOKUP($AI$2,'Diretrizes - Resumo'!$A$4:$AF$30,16,)</f>
        <v>460772.09</v>
      </c>
    </row>
    <row r="4" spans="1:42" x14ac:dyDescent="0.25">
      <c r="A4" s="161" t="s">
        <v>319</v>
      </c>
      <c r="B4" s="162">
        <v>186993.2</v>
      </c>
      <c r="C4" s="162">
        <v>68518.61</v>
      </c>
      <c r="D4" s="163">
        <f>B4+C4</f>
        <v>255511.81</v>
      </c>
      <c r="E4" s="162">
        <v>20228.669999999998</v>
      </c>
      <c r="F4" s="162">
        <v>20306.080000000002</v>
      </c>
      <c r="G4" s="163">
        <f>E4+F4</f>
        <v>40534.75</v>
      </c>
      <c r="H4" s="162">
        <v>291369.96000000002</v>
      </c>
      <c r="I4" s="162">
        <v>26701.15</v>
      </c>
      <c r="J4" s="163">
        <f t="shared" ref="J4:J30" si="0">I4+H4+G4+D4</f>
        <v>614117.67000000004</v>
      </c>
      <c r="K4" s="51" t="b">
        <v>1</v>
      </c>
      <c r="L4" s="162">
        <v>11321.60862652516</v>
      </c>
      <c r="M4" s="162">
        <v>26865.16</v>
      </c>
      <c r="N4" s="162">
        <v>1259396.5999999999</v>
      </c>
      <c r="O4" s="46"/>
      <c r="P4" s="162">
        <v>47311.12</v>
      </c>
      <c r="Q4" s="162">
        <v>5721.7575456250588</v>
      </c>
      <c r="S4" s="162">
        <v>3028.56</v>
      </c>
      <c r="T4" s="7"/>
      <c r="U4" s="166">
        <v>791</v>
      </c>
      <c r="V4" s="166">
        <v>778</v>
      </c>
      <c r="W4" s="167">
        <v>0.41259640102827766</v>
      </c>
      <c r="X4" s="166">
        <v>206</v>
      </c>
      <c r="Y4" s="167">
        <v>0.62135922330097093</v>
      </c>
      <c r="Z4" s="166">
        <v>3045</v>
      </c>
      <c r="AA4" s="7"/>
      <c r="AB4" s="205">
        <v>55.931615816121138</v>
      </c>
      <c r="AC4" s="7"/>
      <c r="AD4" s="205">
        <v>890194.63</v>
      </c>
      <c r="AE4" s="46"/>
      <c r="AF4" s="206">
        <v>830026</v>
      </c>
      <c r="AH4" s="174" t="s">
        <v>75</v>
      </c>
      <c r="AI4" s="173">
        <f>AI5+AI12+AI13</f>
        <v>5855382.9399999995</v>
      </c>
      <c r="AK4" s="174" t="s">
        <v>318</v>
      </c>
      <c r="AL4" s="175">
        <f>VLOOKUP($AI$2,'Diretrizes - Resumo'!$A$4:$AF$30,17,)</f>
        <v>56048.053474395689</v>
      </c>
      <c r="AP4" s="53"/>
    </row>
    <row r="5" spans="1:42" x14ac:dyDescent="0.25">
      <c r="A5" s="161" t="s">
        <v>317</v>
      </c>
      <c r="B5" s="162">
        <v>631152.27</v>
      </c>
      <c r="C5" s="162">
        <v>183996.85</v>
      </c>
      <c r="D5" s="163">
        <f t="shared" ref="D5:D30" si="1">B5+C5</f>
        <v>815149.12</v>
      </c>
      <c r="E5" s="162">
        <v>21264.52</v>
      </c>
      <c r="F5" s="162">
        <v>31519.78</v>
      </c>
      <c r="G5" s="163">
        <f t="shared" ref="G5:G30" si="2">E5+F5</f>
        <v>52784.3</v>
      </c>
      <c r="H5" s="162">
        <v>951521.47</v>
      </c>
      <c r="I5" s="162">
        <v>82216.51999999999</v>
      </c>
      <c r="J5" s="163">
        <f t="shared" si="0"/>
        <v>1901671.4100000001</v>
      </c>
      <c r="K5" s="51" t="b">
        <v>1</v>
      </c>
      <c r="L5" s="162">
        <v>35058.393413677273</v>
      </c>
      <c r="M5" s="162">
        <v>23816.880000000001</v>
      </c>
      <c r="N5" s="162">
        <v>224556.92999999982</v>
      </c>
      <c r="O5" s="46"/>
      <c r="P5" s="162">
        <v>148009.54</v>
      </c>
      <c r="Q5" s="162">
        <v>17862.943923882707</v>
      </c>
      <c r="S5" s="162">
        <v>7129.63</v>
      </c>
      <c r="T5" s="7"/>
      <c r="U5" s="166">
        <v>2425</v>
      </c>
      <c r="V5" s="166">
        <v>2315</v>
      </c>
      <c r="W5" s="167">
        <v>0.31663066954643626</v>
      </c>
      <c r="X5" s="166">
        <v>233</v>
      </c>
      <c r="Y5" s="167">
        <v>0.58798283261802575</v>
      </c>
      <c r="Z5" s="168">
        <v>9944</v>
      </c>
      <c r="AA5" s="7"/>
      <c r="AB5" s="162">
        <v>113.24909493747099</v>
      </c>
      <c r="AC5" s="7"/>
      <c r="AD5" s="162">
        <v>2214961.14</v>
      </c>
      <c r="AE5" s="46"/>
      <c r="AF5" s="164">
        <v>3127511</v>
      </c>
      <c r="AH5" s="174" t="s">
        <v>9</v>
      </c>
      <c r="AI5" s="173">
        <f>AI6+AI9</f>
        <v>2887353.0300000003</v>
      </c>
      <c r="AK5" s="174" t="s">
        <v>315</v>
      </c>
      <c r="AL5" s="175">
        <f>VLOOKUP($AI$2,'Diretrizes - Resumo'!$A$4:$AF$30,12,)</f>
        <v>107947.312322411</v>
      </c>
      <c r="AP5" s="53"/>
    </row>
    <row r="6" spans="1:42" x14ac:dyDescent="0.25">
      <c r="A6" s="161" t="s">
        <v>316</v>
      </c>
      <c r="B6" s="162">
        <v>529852.94999999995</v>
      </c>
      <c r="C6" s="162">
        <v>320808.46000000002</v>
      </c>
      <c r="D6" s="163">
        <f t="shared" si="1"/>
        <v>850661.40999999992</v>
      </c>
      <c r="E6" s="162">
        <v>24434.73</v>
      </c>
      <c r="F6" s="162">
        <v>38030.6</v>
      </c>
      <c r="G6" s="163">
        <f t="shared" si="2"/>
        <v>62465.33</v>
      </c>
      <c r="H6" s="162">
        <v>783780.40999999992</v>
      </c>
      <c r="I6" s="162">
        <v>96420.790000000008</v>
      </c>
      <c r="J6" s="163">
        <f t="shared" si="0"/>
        <v>1793327.94</v>
      </c>
      <c r="K6" s="51" t="b">
        <v>1</v>
      </c>
      <c r="L6" s="162">
        <v>33061.020075278953</v>
      </c>
      <c r="M6" s="162">
        <v>24009.360000000001</v>
      </c>
      <c r="N6" s="162">
        <v>256712.70999999985</v>
      </c>
      <c r="O6" s="46"/>
      <c r="P6" s="162">
        <v>138205.16</v>
      </c>
      <c r="Q6" s="162">
        <v>16503.568785653395</v>
      </c>
      <c r="S6" s="162">
        <v>6706.87</v>
      </c>
      <c r="T6" s="7"/>
      <c r="U6" s="166">
        <v>2477</v>
      </c>
      <c r="V6" s="166">
        <v>2446</v>
      </c>
      <c r="W6" s="167">
        <v>0.47179067865903512</v>
      </c>
      <c r="X6" s="166">
        <v>355</v>
      </c>
      <c r="Y6" s="167">
        <v>0.67323943661971841</v>
      </c>
      <c r="Z6" s="168">
        <v>8191</v>
      </c>
      <c r="AA6" s="7"/>
      <c r="AB6" s="162">
        <v>31.934855868891965</v>
      </c>
      <c r="AC6" s="7"/>
      <c r="AD6" s="162">
        <v>481535.95</v>
      </c>
      <c r="AE6" s="46"/>
      <c r="AF6" s="164">
        <v>3941175</v>
      </c>
      <c r="AH6" s="174" t="s">
        <v>10</v>
      </c>
      <c r="AI6" s="175">
        <f>SUM(AI7:AI8)</f>
        <v>2638035.16</v>
      </c>
      <c r="AK6" s="174" t="s">
        <v>313</v>
      </c>
      <c r="AL6" s="175">
        <f>VLOOKUP($AI$2,'Diretrizes - Resumo'!$A$4:$AF$30,13,)</f>
        <v>0</v>
      </c>
      <c r="AP6" s="53"/>
    </row>
    <row r="7" spans="1:42" x14ac:dyDescent="0.25">
      <c r="A7" s="161" t="s">
        <v>314</v>
      </c>
      <c r="B7" s="162">
        <v>219224.24</v>
      </c>
      <c r="C7" s="162">
        <v>117459.15</v>
      </c>
      <c r="D7" s="163">
        <f t="shared" si="1"/>
        <v>336683.39</v>
      </c>
      <c r="E7" s="162">
        <v>31310.850000000002</v>
      </c>
      <c r="F7" s="162">
        <v>48641.42</v>
      </c>
      <c r="G7" s="163">
        <f t="shared" si="2"/>
        <v>79952.27</v>
      </c>
      <c r="H7" s="162">
        <v>441887.18</v>
      </c>
      <c r="I7" s="162">
        <v>55021.600000000006</v>
      </c>
      <c r="J7" s="163">
        <f t="shared" si="0"/>
        <v>913544.44000000006</v>
      </c>
      <c r="K7" s="51" t="b">
        <v>1</v>
      </c>
      <c r="L7" s="162">
        <v>16841.711280857675</v>
      </c>
      <c r="M7" s="162">
        <v>18080</v>
      </c>
      <c r="N7" s="162">
        <v>1082018.54</v>
      </c>
      <c r="O7" s="46"/>
      <c r="P7" s="162">
        <v>67980.53</v>
      </c>
      <c r="Q7" s="162">
        <v>8090.4245986407059</v>
      </c>
      <c r="S7" s="162">
        <v>3304.86</v>
      </c>
      <c r="T7" s="7"/>
      <c r="U7" s="166">
        <v>1003</v>
      </c>
      <c r="V7" s="166">
        <v>995</v>
      </c>
      <c r="W7" s="167">
        <v>0.457286432160804</v>
      </c>
      <c r="X7" s="166">
        <v>401</v>
      </c>
      <c r="Y7" s="167">
        <v>0.71820448877805487</v>
      </c>
      <c r="Z7" s="168">
        <v>4618</v>
      </c>
      <c r="AA7" s="7"/>
      <c r="AB7" s="162">
        <v>2.0350695850645035</v>
      </c>
      <c r="AC7" s="7"/>
      <c r="AD7" s="162">
        <v>294959.44</v>
      </c>
      <c r="AE7" s="46"/>
      <c r="AF7" s="164">
        <v>733508</v>
      </c>
      <c r="AH7" s="176" t="s">
        <v>365</v>
      </c>
      <c r="AI7" s="175">
        <f>VLOOKUP($AI$2,'Diretrizes - Resumo'!$A$4:$AF$30,2,)</f>
        <v>2108087.7200000002</v>
      </c>
      <c r="AK7" s="174" t="s">
        <v>311</v>
      </c>
      <c r="AL7" s="175">
        <f>VLOOKUP($AI$2,$A$4:$AF$30,28,)</f>
        <v>508.40957897874529</v>
      </c>
      <c r="AP7" s="53"/>
    </row>
    <row r="8" spans="1:42" x14ac:dyDescent="0.25">
      <c r="A8" s="161" t="s">
        <v>312</v>
      </c>
      <c r="B8" s="162">
        <v>2108087.7200000002</v>
      </c>
      <c r="C8" s="162">
        <v>529947.43999999994</v>
      </c>
      <c r="D8" s="163">
        <f t="shared" si="1"/>
        <v>2638035.16</v>
      </c>
      <c r="E8" s="162">
        <v>125018.27</v>
      </c>
      <c r="F8" s="162">
        <v>124299.6</v>
      </c>
      <c r="G8" s="163">
        <f t="shared" si="2"/>
        <v>249317.87</v>
      </c>
      <c r="H8" s="162">
        <v>2647399.8899999997</v>
      </c>
      <c r="I8" s="162">
        <v>320630.02</v>
      </c>
      <c r="J8" s="163">
        <f t="shared" si="0"/>
        <v>5855382.9399999995</v>
      </c>
      <c r="K8" s="51" t="b">
        <v>1</v>
      </c>
      <c r="L8" s="162">
        <v>107947.312322411</v>
      </c>
      <c r="M8" s="162">
        <v>0</v>
      </c>
      <c r="N8" s="162">
        <v>0</v>
      </c>
      <c r="O8" s="46"/>
      <c r="P8" s="162">
        <v>460772.09</v>
      </c>
      <c r="Q8" s="162">
        <v>56048.053474395689</v>
      </c>
      <c r="S8" s="162">
        <v>16155.58</v>
      </c>
      <c r="T8" s="7"/>
      <c r="U8" s="166">
        <v>8479</v>
      </c>
      <c r="V8" s="166">
        <v>7572</v>
      </c>
      <c r="W8" s="167">
        <v>0.29635499207606969</v>
      </c>
      <c r="X8" s="166">
        <v>1129</v>
      </c>
      <c r="Y8" s="167">
        <v>0.51107174490699736</v>
      </c>
      <c r="Z8" s="168">
        <v>27667</v>
      </c>
      <c r="AA8" s="7"/>
      <c r="AB8" s="162">
        <v>508.40957897874529</v>
      </c>
      <c r="AC8" s="7"/>
      <c r="AD8" s="162">
        <v>13760869.380000001</v>
      </c>
      <c r="AE8" s="46"/>
      <c r="AF8" s="164">
        <v>14136417</v>
      </c>
      <c r="AH8" s="176" t="s">
        <v>73</v>
      </c>
      <c r="AI8" s="175">
        <f>VLOOKUP($AI$2,'Diretrizes - Resumo'!$A$4:$AF$30,3,)</f>
        <v>529947.43999999994</v>
      </c>
      <c r="AK8" s="174" t="s">
        <v>370</v>
      </c>
      <c r="AL8" s="175">
        <f>VLOOKUP($AI$2,'Diretrizes - Resumo'!$A$4:$AF$30,30,)</f>
        <v>13760869.380000001</v>
      </c>
      <c r="AP8" s="53"/>
    </row>
    <row r="9" spans="1:42" x14ac:dyDescent="0.25">
      <c r="A9" s="161" t="s">
        <v>310</v>
      </c>
      <c r="B9" s="162">
        <v>1402823.85</v>
      </c>
      <c r="C9" s="162">
        <v>359503.32999999996</v>
      </c>
      <c r="D9" s="163">
        <f t="shared" si="1"/>
        <v>1762327.1800000002</v>
      </c>
      <c r="E9" s="162">
        <v>84264.74</v>
      </c>
      <c r="F9" s="162">
        <v>59521.67</v>
      </c>
      <c r="G9" s="163">
        <f t="shared" si="2"/>
        <v>143786.41</v>
      </c>
      <c r="H9" s="162">
        <v>1820942.64</v>
      </c>
      <c r="I9" s="162">
        <v>234310.39</v>
      </c>
      <c r="J9" s="163">
        <f t="shared" si="0"/>
        <v>3961366.62</v>
      </c>
      <c r="K9" s="51" t="b">
        <v>1</v>
      </c>
      <c r="L9" s="162">
        <v>73030.045249416828</v>
      </c>
      <c r="M9" s="162">
        <v>0</v>
      </c>
      <c r="N9" s="162">
        <v>0</v>
      </c>
      <c r="O9" s="46"/>
      <c r="P9" s="162">
        <v>308636.37</v>
      </c>
      <c r="Q9" s="162">
        <v>37581.532409267427</v>
      </c>
      <c r="S9" s="162">
        <v>10576.38</v>
      </c>
      <c r="T9" s="7"/>
      <c r="U9" s="166">
        <v>5466</v>
      </c>
      <c r="V9" s="166">
        <v>5236</v>
      </c>
      <c r="W9" s="167">
        <v>0.29545454545454547</v>
      </c>
      <c r="X9" s="166">
        <v>651</v>
      </c>
      <c r="Y9" s="167">
        <v>0.40399385560675882</v>
      </c>
      <c r="Z9" s="168">
        <v>19030</v>
      </c>
      <c r="AA9" s="7"/>
      <c r="AB9" s="162">
        <v>420.03055820345276</v>
      </c>
      <c r="AC9" s="7"/>
      <c r="AD9" s="162">
        <v>4499390.6500000004</v>
      </c>
      <c r="AE9" s="46"/>
      <c r="AF9" s="164">
        <v>8791688</v>
      </c>
      <c r="AH9" s="174" t="s">
        <v>11</v>
      </c>
      <c r="AI9" s="177">
        <f>SUM(AI10:AI11)</f>
        <v>249317.87</v>
      </c>
      <c r="AP9" s="53"/>
    </row>
    <row r="10" spans="1:42" x14ac:dyDescent="0.25">
      <c r="A10" s="161" t="s">
        <v>309</v>
      </c>
      <c r="B10" s="162">
        <v>1923369.1600000001</v>
      </c>
      <c r="C10" s="162">
        <v>598456.30999999994</v>
      </c>
      <c r="D10" s="163">
        <f t="shared" si="1"/>
        <v>2521825.4700000002</v>
      </c>
      <c r="E10" s="162">
        <v>113503.36</v>
      </c>
      <c r="F10" s="162">
        <v>91737.25</v>
      </c>
      <c r="G10" s="163">
        <f t="shared" si="2"/>
        <v>205240.61</v>
      </c>
      <c r="H10" s="162">
        <v>1730134.73</v>
      </c>
      <c r="I10" s="162">
        <v>267788.13</v>
      </c>
      <c r="J10" s="163">
        <f t="shared" si="0"/>
        <v>4724988.9399999995</v>
      </c>
      <c r="K10" s="51" t="b">
        <v>1</v>
      </c>
      <c r="L10" s="162">
        <v>87107.856446370046</v>
      </c>
      <c r="M10" s="162">
        <v>0</v>
      </c>
      <c r="N10" s="162">
        <v>0</v>
      </c>
      <c r="O10" s="46"/>
      <c r="P10" s="162">
        <v>358204.31</v>
      </c>
      <c r="Q10" s="162">
        <v>47294.624493639407</v>
      </c>
      <c r="S10" s="162">
        <v>17814.330000000002</v>
      </c>
      <c r="T10" s="7"/>
      <c r="U10" s="166">
        <v>6967</v>
      </c>
      <c r="V10" s="166">
        <v>6386</v>
      </c>
      <c r="W10" s="167">
        <v>0.28891324772940807</v>
      </c>
      <c r="X10" s="166">
        <v>966</v>
      </c>
      <c r="Y10" s="167">
        <v>0.44616977225672882</v>
      </c>
      <c r="Z10" s="168">
        <v>18081</v>
      </c>
      <c r="AA10" s="7"/>
      <c r="AB10" s="162">
        <v>2470.3681819798458</v>
      </c>
      <c r="AC10" s="7"/>
      <c r="AD10" s="162">
        <v>1062010.96</v>
      </c>
      <c r="AE10" s="46"/>
      <c r="AF10" s="164">
        <v>2817068</v>
      </c>
      <c r="AH10" s="176" t="s">
        <v>366</v>
      </c>
      <c r="AI10" s="175">
        <f>VLOOKUP($AI$2,'Diretrizes - Resumo'!$A$4:$AF$30,5,)</f>
        <v>125018.27</v>
      </c>
      <c r="AP10" s="53"/>
    </row>
    <row r="11" spans="1:42" x14ac:dyDescent="0.25">
      <c r="A11" s="161" t="s">
        <v>308</v>
      </c>
      <c r="B11" s="162">
        <v>1590347.85</v>
      </c>
      <c r="C11" s="162">
        <v>130250.40000000001</v>
      </c>
      <c r="D11" s="163">
        <f t="shared" si="1"/>
        <v>1720598.25</v>
      </c>
      <c r="E11" s="162">
        <v>95384.98000000001</v>
      </c>
      <c r="F11" s="162">
        <v>20081.66</v>
      </c>
      <c r="G11" s="163">
        <f t="shared" si="2"/>
        <v>115466.64000000001</v>
      </c>
      <c r="H11" s="162">
        <v>1803240.3599999999</v>
      </c>
      <c r="I11" s="162">
        <v>93148.5</v>
      </c>
      <c r="J11" s="163">
        <f>I11+H11+G11+D11</f>
        <v>3732453.75</v>
      </c>
      <c r="K11" s="51" t="b">
        <v>1</v>
      </c>
      <c r="L11" s="162">
        <v>68809.906346077114</v>
      </c>
      <c r="M11" s="162">
        <v>0</v>
      </c>
      <c r="N11" s="162">
        <v>0</v>
      </c>
      <c r="O11" s="46"/>
      <c r="P11" s="162">
        <v>284859.46999999997</v>
      </c>
      <c r="Q11" s="162">
        <v>34547.158026777513</v>
      </c>
      <c r="S11" s="162">
        <v>14316.99</v>
      </c>
      <c r="T11" s="7"/>
      <c r="U11" s="166">
        <v>4557</v>
      </c>
      <c r="V11" s="166">
        <v>4438</v>
      </c>
      <c r="W11" s="167">
        <v>0.12302839116719241</v>
      </c>
      <c r="X11" s="166">
        <v>536</v>
      </c>
      <c r="Y11" s="167">
        <v>0.35820895522388058</v>
      </c>
      <c r="Z11" s="168">
        <v>18845</v>
      </c>
      <c r="AA11" s="7"/>
      <c r="AB11" s="162">
        <v>316.62683910890928</v>
      </c>
      <c r="AC11" s="7"/>
      <c r="AD11" s="162">
        <v>615302.76</v>
      </c>
      <c r="AE11" s="46"/>
      <c r="AF11" s="164">
        <v>3833486</v>
      </c>
      <c r="AH11" s="176" t="s">
        <v>74</v>
      </c>
      <c r="AI11" s="175">
        <f>VLOOKUP($AI$2,'Diretrizes - Resumo'!$A$4:$AF$30,6,)</f>
        <v>124299.6</v>
      </c>
      <c r="AP11" s="53"/>
    </row>
    <row r="12" spans="1:42" x14ac:dyDescent="0.25">
      <c r="A12" s="161" t="s">
        <v>306</v>
      </c>
      <c r="B12" s="162">
        <v>1545090.63</v>
      </c>
      <c r="C12" s="162">
        <v>548159.66</v>
      </c>
      <c r="D12" s="163">
        <f t="shared" si="1"/>
        <v>2093250.29</v>
      </c>
      <c r="E12" s="162">
        <v>84227.56</v>
      </c>
      <c r="F12" s="162">
        <v>66807.34</v>
      </c>
      <c r="G12" s="163">
        <f t="shared" si="2"/>
        <v>151034.9</v>
      </c>
      <c r="H12" s="162">
        <v>3068140.0300000003</v>
      </c>
      <c r="I12" s="162">
        <v>194498.72</v>
      </c>
      <c r="J12" s="163">
        <f t="shared" si="0"/>
        <v>5506923.9400000004</v>
      </c>
      <c r="K12" s="51" t="b">
        <v>1</v>
      </c>
      <c r="L12" s="162">
        <v>101523.27275001968</v>
      </c>
      <c r="M12" s="162">
        <v>0</v>
      </c>
      <c r="N12" s="162">
        <v>0</v>
      </c>
      <c r="O12" s="46"/>
      <c r="P12" s="162">
        <v>423099.66</v>
      </c>
      <c r="Q12" s="162">
        <v>51604.661255364779</v>
      </c>
      <c r="S12" s="162">
        <v>24208.639999999999</v>
      </c>
      <c r="T12" s="7"/>
      <c r="U12" s="166">
        <v>5906</v>
      </c>
      <c r="V12" s="166">
        <v>5625</v>
      </c>
      <c r="W12" s="167">
        <v>0.32408888888888882</v>
      </c>
      <c r="X12" s="166">
        <v>1011</v>
      </c>
      <c r="Y12" s="167">
        <v>0.56874381800197826</v>
      </c>
      <c r="Z12" s="168">
        <v>32064</v>
      </c>
      <c r="AA12" s="7"/>
      <c r="AB12" s="162">
        <v>641.87986617675688</v>
      </c>
      <c r="AC12" s="7"/>
      <c r="AD12" s="162">
        <v>5667305.5700000003</v>
      </c>
      <c r="AE12" s="46"/>
      <c r="AF12" s="164">
        <v>7055228</v>
      </c>
      <c r="AH12" s="174" t="s">
        <v>65</v>
      </c>
      <c r="AI12" s="175">
        <f>VLOOKUP($AI$2,'Diretrizes - Resumo'!$A$4:$AF$30,8,)</f>
        <v>2647399.8899999997</v>
      </c>
      <c r="AP12" s="53"/>
    </row>
    <row r="13" spans="1:42" x14ac:dyDescent="0.25">
      <c r="A13" s="161" t="s">
        <v>305</v>
      </c>
      <c r="B13" s="162">
        <v>568960.06000000006</v>
      </c>
      <c r="C13" s="162">
        <v>261314.47999999998</v>
      </c>
      <c r="D13" s="163">
        <f t="shared" si="1"/>
        <v>830274.54</v>
      </c>
      <c r="E13" s="162">
        <v>36809.24</v>
      </c>
      <c r="F13" s="162">
        <v>54054.520000000004</v>
      </c>
      <c r="G13" s="163">
        <f t="shared" si="2"/>
        <v>90863.760000000009</v>
      </c>
      <c r="H13" s="162">
        <v>820620.29</v>
      </c>
      <c r="I13" s="162">
        <v>73920.02</v>
      </c>
      <c r="J13" s="163">
        <f t="shared" si="0"/>
        <v>1815678.61</v>
      </c>
      <c r="K13" s="51" t="b">
        <v>1</v>
      </c>
      <c r="L13" s="162">
        <v>33473.066974675909</v>
      </c>
      <c r="M13" s="162">
        <v>23178.080000000002</v>
      </c>
      <c r="N13" s="162">
        <v>312181.63999999996</v>
      </c>
      <c r="O13" s="46"/>
      <c r="P13" s="162">
        <v>142299.93</v>
      </c>
      <c r="Q13" s="162">
        <v>17007.575400911224</v>
      </c>
      <c r="S13" s="162">
        <v>4830.3</v>
      </c>
      <c r="T13" s="7"/>
      <c r="U13" s="166">
        <v>2593</v>
      </c>
      <c r="V13" s="166">
        <v>2551</v>
      </c>
      <c r="W13" s="167">
        <v>0.45825166601332812</v>
      </c>
      <c r="X13" s="166">
        <v>487</v>
      </c>
      <c r="Y13" s="167">
        <v>0.70225872689938396</v>
      </c>
      <c r="Z13" s="168">
        <v>8576</v>
      </c>
      <c r="AA13" s="7"/>
      <c r="AB13" s="162">
        <v>45.608184051900075</v>
      </c>
      <c r="AC13" s="7"/>
      <c r="AD13" s="162">
        <v>131622.26999999999</v>
      </c>
      <c r="AE13" s="46"/>
      <c r="AF13" s="164">
        <v>6775152</v>
      </c>
      <c r="AH13" s="174" t="s">
        <v>304</v>
      </c>
      <c r="AI13" s="175">
        <f>VLOOKUP($AI$2,'Diretrizes - Resumo'!$A$4:$AF$30,9,)</f>
        <v>320630.02</v>
      </c>
      <c r="AP13" s="53"/>
    </row>
    <row r="14" spans="1:42" x14ac:dyDescent="0.25">
      <c r="A14" s="161" t="s">
        <v>302</v>
      </c>
      <c r="B14" s="162">
        <v>5368069.54</v>
      </c>
      <c r="C14" s="162">
        <v>1408994.76</v>
      </c>
      <c r="D14" s="163">
        <f t="shared" si="1"/>
        <v>6777064.2999999998</v>
      </c>
      <c r="E14" s="162">
        <v>308193.24</v>
      </c>
      <c r="F14" s="162">
        <v>236972.41</v>
      </c>
      <c r="G14" s="163">
        <f t="shared" si="2"/>
        <v>545165.65</v>
      </c>
      <c r="H14" s="162">
        <v>6375404.3799999999</v>
      </c>
      <c r="I14" s="162">
        <v>615347.92000000004</v>
      </c>
      <c r="J14" s="163">
        <f t="shared" si="0"/>
        <v>14312982.25</v>
      </c>
      <c r="K14" s="51" t="b">
        <v>1</v>
      </c>
      <c r="L14" s="162">
        <v>263867.96241983445</v>
      </c>
      <c r="M14" s="162">
        <v>0</v>
      </c>
      <c r="N14" s="162">
        <v>0</v>
      </c>
      <c r="O14" s="46"/>
      <c r="P14" s="162">
        <v>1105112.1200000001</v>
      </c>
      <c r="Q14" s="162">
        <v>134739.21720654453</v>
      </c>
      <c r="S14" s="162">
        <v>57084</v>
      </c>
      <c r="T14" s="7"/>
      <c r="U14" s="166">
        <v>19608</v>
      </c>
      <c r="V14" s="166">
        <v>18731</v>
      </c>
      <c r="W14" s="167">
        <v>0.29662057551652338</v>
      </c>
      <c r="X14" s="166">
        <v>2500</v>
      </c>
      <c r="Y14" s="167">
        <v>0.39039999999999997</v>
      </c>
      <c r="Z14" s="168">
        <v>66627</v>
      </c>
      <c r="AA14" s="7"/>
      <c r="AB14" s="162">
        <v>1294.7271914180519</v>
      </c>
      <c r="AC14" s="7"/>
      <c r="AD14" s="162">
        <v>16981825.850000001</v>
      </c>
      <c r="AE14" s="46"/>
      <c r="AF14" s="164">
        <v>20538718</v>
      </c>
      <c r="AH14" s="174" t="s">
        <v>12</v>
      </c>
      <c r="AI14" s="178"/>
      <c r="AP14" s="53"/>
    </row>
    <row r="15" spans="1:42" x14ac:dyDescent="0.25">
      <c r="A15" s="161" t="s">
        <v>300</v>
      </c>
      <c r="B15" s="162">
        <v>950471.39</v>
      </c>
      <c r="C15" s="162">
        <v>430903.77999999997</v>
      </c>
      <c r="D15" s="163">
        <f t="shared" si="1"/>
        <v>1381375.17</v>
      </c>
      <c r="E15" s="162">
        <v>72591.31</v>
      </c>
      <c r="F15" s="162">
        <v>85735.89</v>
      </c>
      <c r="G15" s="163">
        <f t="shared" si="2"/>
        <v>158327.20000000001</v>
      </c>
      <c r="H15" s="162">
        <v>2194987.0300000003</v>
      </c>
      <c r="I15" s="162">
        <v>208301.22</v>
      </c>
      <c r="J15" s="163">
        <f t="shared" si="0"/>
        <v>3942990.6200000006</v>
      </c>
      <c r="K15" s="51" t="b">
        <v>1</v>
      </c>
      <c r="L15" s="162">
        <v>72691.273392469186</v>
      </c>
      <c r="M15" s="162">
        <v>0</v>
      </c>
      <c r="N15" s="162">
        <v>0</v>
      </c>
      <c r="O15" s="46"/>
      <c r="P15" s="162">
        <v>299929.45</v>
      </c>
      <c r="Q15" s="162">
        <v>36268.252784477074</v>
      </c>
      <c r="S15" s="162">
        <v>16968.599999999999</v>
      </c>
      <c r="T15" s="7"/>
      <c r="U15" s="166">
        <v>4041</v>
      </c>
      <c r="V15" s="166">
        <v>3916</v>
      </c>
      <c r="W15" s="167">
        <v>0.42211440245148113</v>
      </c>
      <c r="X15" s="166">
        <v>889</v>
      </c>
      <c r="Y15" s="167">
        <v>0.59730033745781785</v>
      </c>
      <c r="Z15" s="168">
        <v>22939</v>
      </c>
      <c r="AA15" s="7"/>
      <c r="AB15" s="162">
        <v>305.33385491497376</v>
      </c>
      <c r="AC15" s="7"/>
      <c r="AD15" s="162">
        <v>2385279.75</v>
      </c>
      <c r="AE15" s="46"/>
      <c r="AF15" s="164">
        <v>2756700</v>
      </c>
      <c r="AH15" s="174" t="s">
        <v>137</v>
      </c>
      <c r="AI15" s="177">
        <f>VLOOKUP($AI$2,'Diretrizes - Resumo'!$A$4:$AF$30,19,)</f>
        <v>16155.58</v>
      </c>
      <c r="AP15" s="53"/>
    </row>
    <row r="16" spans="1:42" x14ac:dyDescent="0.25">
      <c r="A16" s="161" t="s">
        <v>298</v>
      </c>
      <c r="B16" s="162">
        <v>1118730.29</v>
      </c>
      <c r="C16" s="162">
        <v>314485.62</v>
      </c>
      <c r="D16" s="163">
        <f t="shared" si="1"/>
        <v>1433215.9100000001</v>
      </c>
      <c r="E16" s="162">
        <v>91179.78</v>
      </c>
      <c r="F16" s="162">
        <v>71390.649999999994</v>
      </c>
      <c r="G16" s="163">
        <f t="shared" si="2"/>
        <v>162570.43</v>
      </c>
      <c r="H16" s="162">
        <v>3156747.12</v>
      </c>
      <c r="I16" s="162">
        <v>150467.28</v>
      </c>
      <c r="J16" s="163">
        <f t="shared" si="0"/>
        <v>4903000.74</v>
      </c>
      <c r="K16" s="51" t="b">
        <v>1</v>
      </c>
      <c r="L16" s="162">
        <v>90389.605451536307</v>
      </c>
      <c r="M16" s="162">
        <v>0</v>
      </c>
      <c r="N16" s="162">
        <v>0</v>
      </c>
      <c r="O16" s="46"/>
      <c r="P16" s="162">
        <v>373178.79</v>
      </c>
      <c r="Q16" s="162">
        <v>45488.784944175699</v>
      </c>
      <c r="S16" s="162">
        <v>22244.86</v>
      </c>
      <c r="T16" s="7"/>
      <c r="U16" s="166">
        <v>3994</v>
      </c>
      <c r="V16" s="166">
        <v>3899</v>
      </c>
      <c r="W16" s="167">
        <v>0.31033598358553477</v>
      </c>
      <c r="X16" s="166">
        <v>851</v>
      </c>
      <c r="Y16" s="167">
        <v>0.50058754406580486</v>
      </c>
      <c r="Z16" s="168">
        <v>32990</v>
      </c>
      <c r="AA16" s="7"/>
      <c r="AB16" s="162">
        <v>593.16590464585852</v>
      </c>
      <c r="AC16" s="7"/>
      <c r="AD16" s="162">
        <v>1117018.75</v>
      </c>
      <c r="AE16" s="46"/>
      <c r="AF16" s="164">
        <v>3658813</v>
      </c>
      <c r="AH16" s="174" t="s">
        <v>13</v>
      </c>
      <c r="AI16" s="177">
        <f>VLOOKUP($AI$2,'Diretrizes - Resumo'!$A$4:$AF$30,14,)</f>
        <v>0</v>
      </c>
      <c r="AP16" s="53"/>
    </row>
    <row r="17" spans="1:42" x14ac:dyDescent="0.25">
      <c r="A17" s="161" t="s">
        <v>296</v>
      </c>
      <c r="B17" s="162">
        <v>755155.26</v>
      </c>
      <c r="C17" s="162">
        <v>450481.91999999998</v>
      </c>
      <c r="D17" s="163">
        <f t="shared" si="1"/>
        <v>1205637.18</v>
      </c>
      <c r="E17" s="162">
        <v>48013.78</v>
      </c>
      <c r="F17" s="162">
        <v>61465.5</v>
      </c>
      <c r="G17" s="163">
        <f t="shared" si="2"/>
        <v>109479.28</v>
      </c>
      <c r="H17" s="162">
        <v>1189210.47</v>
      </c>
      <c r="I17" s="162">
        <v>113292.03</v>
      </c>
      <c r="J17" s="163">
        <f t="shared" si="0"/>
        <v>2617618.96</v>
      </c>
      <c r="K17" s="51" t="b">
        <v>1</v>
      </c>
      <c r="L17" s="162">
        <v>48257.293165473762</v>
      </c>
      <c r="M17" s="162">
        <v>0</v>
      </c>
      <c r="N17" s="162">
        <v>0</v>
      </c>
      <c r="O17" s="46"/>
      <c r="P17" s="162">
        <v>204002.24</v>
      </c>
      <c r="Q17" s="162">
        <v>24404.129476292324</v>
      </c>
      <c r="S17" s="162">
        <v>9412.7000000000007</v>
      </c>
      <c r="T17" s="7"/>
      <c r="U17" s="166">
        <v>3650</v>
      </c>
      <c r="V17" s="166">
        <v>3458</v>
      </c>
      <c r="W17" s="167">
        <v>0.43956043956043955</v>
      </c>
      <c r="X17" s="166">
        <v>564</v>
      </c>
      <c r="Y17" s="167">
        <v>0.65248226950354604</v>
      </c>
      <c r="Z17" s="168">
        <v>12428</v>
      </c>
      <c r="AA17" s="7"/>
      <c r="AB17" s="162">
        <v>66.511839088899364</v>
      </c>
      <c r="AC17" s="7"/>
      <c r="AD17" s="162">
        <v>488487.16</v>
      </c>
      <c r="AE17" s="46"/>
      <c r="AF17" s="164">
        <v>8116132</v>
      </c>
      <c r="AH17" s="6"/>
      <c r="AI17" s="7"/>
      <c r="AP17" s="53"/>
    </row>
    <row r="18" spans="1:42" x14ac:dyDescent="0.25">
      <c r="A18" s="161" t="s">
        <v>295</v>
      </c>
      <c r="B18" s="162">
        <v>918309.73</v>
      </c>
      <c r="C18" s="162">
        <v>296689.67000000004</v>
      </c>
      <c r="D18" s="163">
        <f t="shared" si="1"/>
        <v>1214999.3999999999</v>
      </c>
      <c r="E18" s="162">
        <v>39364.53</v>
      </c>
      <c r="F18" s="162">
        <v>44190.67</v>
      </c>
      <c r="G18" s="163">
        <f t="shared" si="2"/>
        <v>83555.199999999997</v>
      </c>
      <c r="H18" s="162">
        <v>1348435.3</v>
      </c>
      <c r="I18" s="162">
        <v>155816.85999999999</v>
      </c>
      <c r="J18" s="163">
        <f t="shared" si="0"/>
        <v>2802806.76</v>
      </c>
      <c r="K18" s="51" t="b">
        <v>1</v>
      </c>
      <c r="L18" s="162">
        <v>51671.335661804012</v>
      </c>
      <c r="M18" s="162">
        <v>0</v>
      </c>
      <c r="N18" s="162">
        <v>0</v>
      </c>
      <c r="O18" s="46"/>
      <c r="P18" s="162">
        <v>218598.34</v>
      </c>
      <c r="Q18" s="162">
        <v>26727.848575270786</v>
      </c>
      <c r="S18" s="162">
        <v>10271.459999999999</v>
      </c>
      <c r="T18" s="7"/>
      <c r="U18" s="166">
        <v>3735</v>
      </c>
      <c r="V18" s="166">
        <v>3641</v>
      </c>
      <c r="W18" s="167">
        <v>0.3559461686349904</v>
      </c>
      <c r="X18" s="166">
        <v>565</v>
      </c>
      <c r="Y18" s="167">
        <v>0.71858407079646014</v>
      </c>
      <c r="Z18" s="168">
        <v>14092</v>
      </c>
      <c r="AA18" s="7"/>
      <c r="AB18" s="162">
        <v>324.53363380300169</v>
      </c>
      <c r="AC18" s="7"/>
      <c r="AD18" s="162">
        <v>3009755.68</v>
      </c>
      <c r="AE18" s="46"/>
      <c r="AF18" s="164">
        <v>3974495</v>
      </c>
      <c r="AH18" s="265" t="s">
        <v>307</v>
      </c>
      <c r="AI18" s="265"/>
      <c r="AP18" s="53"/>
    </row>
    <row r="19" spans="1:42" x14ac:dyDescent="0.25">
      <c r="A19" s="161" t="s">
        <v>273</v>
      </c>
      <c r="B19" s="162">
        <v>1587555.31</v>
      </c>
      <c r="C19" s="162">
        <v>458567.33</v>
      </c>
      <c r="D19" s="163">
        <f t="shared" si="1"/>
        <v>2046122.6400000001</v>
      </c>
      <c r="E19" s="162">
        <v>84803.34</v>
      </c>
      <c r="F19" s="162">
        <v>56017.39</v>
      </c>
      <c r="G19" s="163">
        <f t="shared" si="2"/>
        <v>140820.72999999998</v>
      </c>
      <c r="H19" s="162">
        <v>2206852.34</v>
      </c>
      <c r="I19" s="162">
        <v>179272.58</v>
      </c>
      <c r="J19" s="163">
        <f t="shared" si="0"/>
        <v>4573068.29</v>
      </c>
      <c r="K19" s="51" t="b">
        <v>1</v>
      </c>
      <c r="L19" s="162">
        <v>84307.112952813332</v>
      </c>
      <c r="M19" s="162">
        <v>0</v>
      </c>
      <c r="N19" s="162">
        <v>0</v>
      </c>
      <c r="O19" s="46"/>
      <c r="P19" s="162">
        <v>361469.35</v>
      </c>
      <c r="Q19" s="162">
        <v>44117.339587379429</v>
      </c>
      <c r="S19" s="162">
        <v>16356.44</v>
      </c>
      <c r="T19" s="7"/>
      <c r="U19" s="166">
        <v>6384</v>
      </c>
      <c r="V19" s="166">
        <v>5858</v>
      </c>
      <c r="W19" s="167">
        <v>0.3096620006828269</v>
      </c>
      <c r="X19" s="166">
        <v>721</v>
      </c>
      <c r="Y19" s="167">
        <v>0.4563106796116505</v>
      </c>
      <c r="Z19" s="168">
        <v>23063</v>
      </c>
      <c r="AA19" s="7"/>
      <c r="AB19" s="162">
        <v>605.70894474932675</v>
      </c>
      <c r="AC19" s="7"/>
      <c r="AD19" s="162">
        <v>2000946.19</v>
      </c>
      <c r="AE19" s="46"/>
      <c r="AF19" s="164">
        <v>9058155</v>
      </c>
      <c r="AH19" s="169" t="s">
        <v>355</v>
      </c>
      <c r="AI19" s="180">
        <f>VLOOKUP($AI$2,'Diretrizes - Resumo'!$A$4:$AF$30,21,)</f>
        <v>8479</v>
      </c>
      <c r="AP19" s="53"/>
    </row>
    <row r="20" spans="1:42" x14ac:dyDescent="0.25">
      <c r="A20" s="161" t="s">
        <v>294</v>
      </c>
      <c r="B20" s="162">
        <v>472293.03</v>
      </c>
      <c r="C20" s="162">
        <v>127675.68</v>
      </c>
      <c r="D20" s="163">
        <f t="shared" si="1"/>
        <v>599968.71</v>
      </c>
      <c r="E20" s="162">
        <v>39323.449999999997</v>
      </c>
      <c r="F20" s="162">
        <v>48742.080000000002</v>
      </c>
      <c r="G20" s="163">
        <f t="shared" si="2"/>
        <v>88065.53</v>
      </c>
      <c r="H20" s="162">
        <v>597284.49</v>
      </c>
      <c r="I20" s="162">
        <v>68601.209999999992</v>
      </c>
      <c r="J20" s="163">
        <f t="shared" si="0"/>
        <v>1353919.94</v>
      </c>
      <c r="K20" s="51" t="b">
        <v>1</v>
      </c>
      <c r="L20" s="162">
        <v>24960.283404944239</v>
      </c>
      <c r="M20" s="162">
        <v>19136.68</v>
      </c>
      <c r="N20" s="162">
        <v>679894.89999999991</v>
      </c>
      <c r="O20" s="46"/>
      <c r="P20" s="162">
        <v>103769.41</v>
      </c>
      <c r="Q20" s="162">
        <v>12358.511920242569</v>
      </c>
      <c r="S20" s="162">
        <v>3932.12</v>
      </c>
      <c r="T20" s="7"/>
      <c r="U20" s="166">
        <v>1820</v>
      </c>
      <c r="V20" s="166">
        <v>1771</v>
      </c>
      <c r="W20" s="167">
        <v>0.32467532467532467</v>
      </c>
      <c r="X20" s="166">
        <v>413</v>
      </c>
      <c r="Y20" s="167">
        <v>0.50847457627118642</v>
      </c>
      <c r="Z20" s="168">
        <v>6242</v>
      </c>
      <c r="AA20" s="7"/>
      <c r="AB20" s="162">
        <v>5.6041559906588487</v>
      </c>
      <c r="AC20" s="7"/>
      <c r="AD20" s="162">
        <v>209.08</v>
      </c>
      <c r="AE20" s="46"/>
      <c r="AF20" s="164">
        <v>3269200</v>
      </c>
      <c r="AH20" s="169" t="s">
        <v>356</v>
      </c>
      <c r="AI20" s="180">
        <f>VLOOKUP($AI$2,'Diretrizes - Resumo'!$A$4:$AF$30,22,)</f>
        <v>7572</v>
      </c>
      <c r="AP20" s="53"/>
    </row>
    <row r="21" spans="1:42" x14ac:dyDescent="0.25">
      <c r="A21" s="161" t="s">
        <v>293</v>
      </c>
      <c r="B21" s="162">
        <v>4399690.41</v>
      </c>
      <c r="C21" s="162">
        <v>950981.25</v>
      </c>
      <c r="D21" s="163">
        <f t="shared" si="1"/>
        <v>5350671.66</v>
      </c>
      <c r="E21" s="162">
        <v>363445.63</v>
      </c>
      <c r="F21" s="162">
        <v>285532.64</v>
      </c>
      <c r="G21" s="163">
        <f t="shared" si="2"/>
        <v>648978.27</v>
      </c>
      <c r="H21" s="162">
        <v>6975750.8900000006</v>
      </c>
      <c r="I21" s="162">
        <v>488499.7</v>
      </c>
      <c r="J21" s="163">
        <f t="shared" si="0"/>
        <v>13463900.520000001</v>
      </c>
      <c r="K21" s="51" t="b">
        <v>1</v>
      </c>
      <c r="L21" s="162">
        <v>248214.65831605039</v>
      </c>
      <c r="M21" s="162">
        <v>0</v>
      </c>
      <c r="N21" s="162">
        <v>0</v>
      </c>
      <c r="O21" s="46"/>
      <c r="P21" s="162">
        <v>1039108.68</v>
      </c>
      <c r="Q21" s="162">
        <v>127370.19743195163</v>
      </c>
      <c r="S21" s="162">
        <v>66847.289999999994</v>
      </c>
      <c r="T21" s="7"/>
      <c r="U21" s="166">
        <v>16023</v>
      </c>
      <c r="V21" s="166">
        <v>15435</v>
      </c>
      <c r="W21" s="167">
        <v>0.30126336248785224</v>
      </c>
      <c r="X21" s="166">
        <v>3115</v>
      </c>
      <c r="Y21" s="167">
        <v>0.4510433386837881</v>
      </c>
      <c r="Z21" s="168">
        <v>72901</v>
      </c>
      <c r="AA21" s="7"/>
      <c r="AB21" s="162">
        <v>1610.8139011952119</v>
      </c>
      <c r="AC21" s="7"/>
      <c r="AD21" s="162">
        <v>15632767.93</v>
      </c>
      <c r="AE21" s="46"/>
      <c r="AF21" s="164">
        <v>11443208</v>
      </c>
      <c r="AH21" s="170" t="s">
        <v>303</v>
      </c>
      <c r="AI21" s="181">
        <f>VLOOKUP($AI$2,'Diretrizes - Resumo'!$A$4:$AF$30,23,)</f>
        <v>0.29635499207606969</v>
      </c>
      <c r="AP21" s="53"/>
    </row>
    <row r="22" spans="1:42" x14ac:dyDescent="0.25">
      <c r="A22" s="161" t="s">
        <v>292</v>
      </c>
      <c r="B22" s="162">
        <v>5082798.5600000005</v>
      </c>
      <c r="C22" s="162">
        <v>1367024.96</v>
      </c>
      <c r="D22" s="163">
        <f t="shared" si="1"/>
        <v>6449823.5200000005</v>
      </c>
      <c r="E22" s="162">
        <v>441741.92</v>
      </c>
      <c r="F22" s="162">
        <v>262558.08000000002</v>
      </c>
      <c r="G22" s="163">
        <f t="shared" si="2"/>
        <v>704300</v>
      </c>
      <c r="H22" s="162">
        <v>6638665.9700000007</v>
      </c>
      <c r="I22" s="162">
        <v>592594.15999999992</v>
      </c>
      <c r="J22" s="163">
        <f t="shared" si="0"/>
        <v>14385383.650000002</v>
      </c>
      <c r="K22" s="51" t="b">
        <v>1</v>
      </c>
      <c r="L22" s="162">
        <v>265202.72382232826</v>
      </c>
      <c r="M22" s="162">
        <v>0</v>
      </c>
      <c r="N22" s="162">
        <v>0</v>
      </c>
      <c r="O22" s="46"/>
      <c r="P22" s="162">
        <v>1167929.17</v>
      </c>
      <c r="Q22" s="162">
        <v>146567.08222962008</v>
      </c>
      <c r="S22" s="162">
        <v>46436.5</v>
      </c>
      <c r="T22" s="7"/>
      <c r="U22" s="166">
        <v>22793</v>
      </c>
      <c r="V22" s="166">
        <v>18584</v>
      </c>
      <c r="W22" s="167">
        <v>0.29837494619027111</v>
      </c>
      <c r="X22" s="166">
        <v>3136</v>
      </c>
      <c r="Y22" s="167">
        <v>0.41996173469387754</v>
      </c>
      <c r="Z22" s="168">
        <v>69378.249811888643</v>
      </c>
      <c r="AA22" s="7"/>
      <c r="AB22" s="162">
        <v>3581.057324336899</v>
      </c>
      <c r="AC22" s="7"/>
      <c r="AD22" s="162">
        <v>9907941.4800000004</v>
      </c>
      <c r="AE22" s="46"/>
      <c r="AF22" s="164">
        <v>16054524</v>
      </c>
      <c r="AH22" s="170" t="s">
        <v>301</v>
      </c>
      <c r="AI22" s="180">
        <f>VLOOKUP($AI$2,'Diretrizes - Resumo'!$A$4:$AF$30,24,)</f>
        <v>1129</v>
      </c>
      <c r="AP22" s="53"/>
    </row>
    <row r="23" spans="1:42" x14ac:dyDescent="0.25">
      <c r="A23" s="161" t="s">
        <v>291</v>
      </c>
      <c r="B23" s="162">
        <v>729647</v>
      </c>
      <c r="C23" s="162">
        <v>325241.59999999998</v>
      </c>
      <c r="D23" s="163">
        <f t="shared" si="1"/>
        <v>1054888.6000000001</v>
      </c>
      <c r="E23" s="162">
        <v>28410.92</v>
      </c>
      <c r="F23" s="162">
        <v>29050.28</v>
      </c>
      <c r="G23" s="163">
        <f t="shared" si="2"/>
        <v>57461.2</v>
      </c>
      <c r="H23" s="162">
        <v>1025871.05</v>
      </c>
      <c r="I23" s="162">
        <v>123984.37999999999</v>
      </c>
      <c r="J23" s="163">
        <f t="shared" si="0"/>
        <v>2262205.23</v>
      </c>
      <c r="K23" s="51" t="b">
        <v>1</v>
      </c>
      <c r="L23" s="162">
        <v>41705.038934549972</v>
      </c>
      <c r="M23" s="162">
        <v>0</v>
      </c>
      <c r="N23" s="162">
        <v>0</v>
      </c>
      <c r="O23" s="46"/>
      <c r="P23" s="162">
        <v>172949.04</v>
      </c>
      <c r="Q23" s="162">
        <v>21299.788029953703</v>
      </c>
      <c r="S23" s="162">
        <v>8916.36</v>
      </c>
      <c r="T23" s="7"/>
      <c r="U23" s="166">
        <v>2945</v>
      </c>
      <c r="V23" s="166">
        <v>2829</v>
      </c>
      <c r="W23" s="167">
        <v>0.35206786850477201</v>
      </c>
      <c r="X23" s="166">
        <v>386</v>
      </c>
      <c r="Y23" s="167">
        <v>0.6606217616580311</v>
      </c>
      <c r="Z23" s="168">
        <v>10721</v>
      </c>
      <c r="AA23" s="7"/>
      <c r="AB23" s="162">
        <v>416.87904082339219</v>
      </c>
      <c r="AC23" s="7"/>
      <c r="AD23" s="162">
        <v>559503.57999999996</v>
      </c>
      <c r="AE23" s="46"/>
      <c r="AF23" s="164">
        <v>3302406</v>
      </c>
      <c r="AH23" s="170" t="s">
        <v>299</v>
      </c>
      <c r="AI23" s="181">
        <f>VLOOKUP($AI$2,'Diretrizes - Resumo'!$A$4:$AF$30,25,)</f>
        <v>0.51107174490699736</v>
      </c>
      <c r="AP23" s="53"/>
    </row>
    <row r="24" spans="1:42" x14ac:dyDescent="0.25">
      <c r="A24" s="161" t="s">
        <v>290</v>
      </c>
      <c r="B24" s="162">
        <v>410013.45</v>
      </c>
      <c r="C24" s="162">
        <v>128000.72</v>
      </c>
      <c r="D24" s="163">
        <f t="shared" si="1"/>
        <v>538014.17000000004</v>
      </c>
      <c r="E24" s="162">
        <v>28467.38</v>
      </c>
      <c r="F24" s="162">
        <v>42224.08</v>
      </c>
      <c r="G24" s="163">
        <f t="shared" si="2"/>
        <v>70691.460000000006</v>
      </c>
      <c r="H24" s="162">
        <v>897457.75</v>
      </c>
      <c r="I24" s="162">
        <v>71051.16</v>
      </c>
      <c r="J24" s="163">
        <f t="shared" si="0"/>
        <v>1577214.54</v>
      </c>
      <c r="K24" s="51" t="b">
        <v>1</v>
      </c>
      <c r="L24" s="162">
        <v>29076.846565655898</v>
      </c>
      <c r="M24" s="162">
        <v>25766.799999999999</v>
      </c>
      <c r="N24" s="162">
        <v>523158.58999999979</v>
      </c>
      <c r="O24" s="46"/>
      <c r="P24" s="162">
        <v>121339.41</v>
      </c>
      <c r="Q24" s="162">
        <v>14639.633725541242</v>
      </c>
      <c r="S24" s="162">
        <v>6968.89</v>
      </c>
      <c r="T24" s="7"/>
      <c r="U24" s="166">
        <v>1656</v>
      </c>
      <c r="V24" s="166">
        <v>1629</v>
      </c>
      <c r="W24" s="167">
        <v>0.3517495395948434</v>
      </c>
      <c r="X24" s="166">
        <v>334</v>
      </c>
      <c r="Y24" s="167">
        <v>0.6347305389221557</v>
      </c>
      <c r="Z24" s="168">
        <v>9379</v>
      </c>
      <c r="AA24" s="7"/>
      <c r="AB24" s="162">
        <v>109.21272262340655</v>
      </c>
      <c r="AC24" s="7"/>
      <c r="AD24" s="162">
        <v>1651025.05</v>
      </c>
      <c r="AE24" s="46"/>
      <c r="AF24" s="164">
        <v>1581016</v>
      </c>
      <c r="AH24" s="170" t="s">
        <v>297</v>
      </c>
      <c r="AI24" s="180">
        <f>VLOOKUP($AI$2,'Diretrizes - Resumo'!$A$4:$AF$30,26,)</f>
        <v>27667</v>
      </c>
      <c r="AP24" s="53"/>
    </row>
    <row r="25" spans="1:42" x14ac:dyDescent="0.25">
      <c r="A25" s="161" t="s">
        <v>289</v>
      </c>
      <c r="B25" s="162">
        <v>64590.35</v>
      </c>
      <c r="C25" s="162">
        <v>28954.76</v>
      </c>
      <c r="D25" s="163">
        <f t="shared" si="1"/>
        <v>93545.11</v>
      </c>
      <c r="E25" s="162">
        <v>5865.37</v>
      </c>
      <c r="F25" s="162">
        <v>8701.35</v>
      </c>
      <c r="G25" s="163">
        <f t="shared" si="2"/>
        <v>14566.720000000001</v>
      </c>
      <c r="H25" s="162">
        <v>171090.14</v>
      </c>
      <c r="I25" s="162">
        <v>8992.08</v>
      </c>
      <c r="J25" s="163">
        <f t="shared" si="0"/>
        <v>288194.05</v>
      </c>
      <c r="K25" s="51" t="b">
        <v>1</v>
      </c>
      <c r="L25" s="162">
        <v>5313.0212242362168</v>
      </c>
      <c r="M25" s="162">
        <v>28422.12</v>
      </c>
      <c r="N25" s="162">
        <v>1580864.4100000001</v>
      </c>
      <c r="O25" s="46"/>
      <c r="P25" s="162">
        <v>22528.7</v>
      </c>
      <c r="Q25" s="162">
        <v>2685.1567457707101</v>
      </c>
      <c r="S25" s="162">
        <v>878.64</v>
      </c>
      <c r="T25" s="7"/>
      <c r="U25" s="166">
        <v>308</v>
      </c>
      <c r="V25" s="166">
        <v>294</v>
      </c>
      <c r="W25" s="167">
        <v>0.39795918367346933</v>
      </c>
      <c r="X25" s="166">
        <v>109</v>
      </c>
      <c r="Y25" s="167">
        <v>0.7155963302752294</v>
      </c>
      <c r="Z25" s="168">
        <v>1788</v>
      </c>
      <c r="AA25" s="7"/>
      <c r="AB25" s="162">
        <v>1.5004361468979037</v>
      </c>
      <c r="AC25" s="7"/>
      <c r="AD25" s="162">
        <v>50007.47</v>
      </c>
      <c r="AE25" s="46"/>
      <c r="AF25" s="164">
        <v>636303</v>
      </c>
      <c r="AP25" s="53"/>
    </row>
    <row r="26" spans="1:42" x14ac:dyDescent="0.25">
      <c r="A26" s="161" t="s">
        <v>288</v>
      </c>
      <c r="B26" s="162">
        <v>5155749.08</v>
      </c>
      <c r="C26" s="162">
        <v>901845.07000000007</v>
      </c>
      <c r="D26" s="163">
        <f t="shared" si="1"/>
        <v>6057594.1500000004</v>
      </c>
      <c r="E26" s="162">
        <v>511345.08</v>
      </c>
      <c r="F26" s="162">
        <v>277221.02</v>
      </c>
      <c r="G26" s="163">
        <f t="shared" si="2"/>
        <v>788566.10000000009</v>
      </c>
      <c r="H26" s="162">
        <v>7626142.2300000004</v>
      </c>
      <c r="I26" s="162">
        <v>529782.81000000006</v>
      </c>
      <c r="J26" s="163">
        <f t="shared" si="0"/>
        <v>15002085.290000001</v>
      </c>
      <c r="K26" s="51" t="b">
        <v>1</v>
      </c>
      <c r="L26" s="162">
        <v>276571.96892513882</v>
      </c>
      <c r="M26" s="162">
        <v>0</v>
      </c>
      <c r="N26" s="162">
        <v>0</v>
      </c>
      <c r="O26" s="46"/>
      <c r="P26" s="162">
        <v>1179359.27</v>
      </c>
      <c r="Q26" s="162">
        <v>144736.30433274858</v>
      </c>
      <c r="S26" s="162">
        <v>79259.320000000007</v>
      </c>
      <c r="T26" s="7"/>
      <c r="U26" s="166">
        <v>19586</v>
      </c>
      <c r="V26" s="166">
        <v>18032</v>
      </c>
      <c r="W26" s="167">
        <v>0.27922582076308783</v>
      </c>
      <c r="X26" s="166">
        <v>4215</v>
      </c>
      <c r="Y26" s="167">
        <v>0.45361803084223018</v>
      </c>
      <c r="Z26" s="168">
        <v>79698</v>
      </c>
      <c r="AA26" s="7"/>
      <c r="AB26" s="162">
        <v>1425.7264510910636</v>
      </c>
      <c r="AC26" s="7"/>
      <c r="AD26" s="162">
        <v>16542650.58</v>
      </c>
      <c r="AE26" s="46"/>
      <c r="AF26" s="164">
        <v>10880506</v>
      </c>
      <c r="AH26" s="265" t="s">
        <v>357</v>
      </c>
      <c r="AI26" s="265"/>
      <c r="AP26" s="53"/>
    </row>
    <row r="27" spans="1:42" x14ac:dyDescent="0.25">
      <c r="A27" s="161" t="s">
        <v>287</v>
      </c>
      <c r="B27" s="162">
        <v>4243822.92</v>
      </c>
      <c r="C27" s="162">
        <v>744495.55</v>
      </c>
      <c r="D27" s="163">
        <f t="shared" si="1"/>
        <v>4988318.47</v>
      </c>
      <c r="E27" s="162">
        <v>314838.53000000003</v>
      </c>
      <c r="F27" s="162">
        <v>177575.03</v>
      </c>
      <c r="G27" s="163">
        <f t="shared" si="2"/>
        <v>492413.56000000006</v>
      </c>
      <c r="H27" s="162">
        <v>6133696.4799999995</v>
      </c>
      <c r="I27" s="162">
        <v>419384.18999999994</v>
      </c>
      <c r="J27" s="163">
        <f t="shared" si="0"/>
        <v>12033812.699999999</v>
      </c>
      <c r="K27" s="51" t="b">
        <v>1</v>
      </c>
      <c r="L27" s="162">
        <v>221850.17719395211</v>
      </c>
      <c r="M27" s="162">
        <v>0</v>
      </c>
      <c r="N27" s="162">
        <v>0</v>
      </c>
      <c r="O27" s="46"/>
      <c r="P27" s="162">
        <v>906394.98</v>
      </c>
      <c r="Q27" s="162">
        <v>109493.86510327426</v>
      </c>
      <c r="S27" s="162">
        <v>49197.66</v>
      </c>
      <c r="T27" s="7"/>
      <c r="U27" s="166">
        <v>13143</v>
      </c>
      <c r="V27" s="166">
        <v>12715</v>
      </c>
      <c r="W27" s="167">
        <v>0.19213527329925284</v>
      </c>
      <c r="X27" s="166">
        <v>2366</v>
      </c>
      <c r="Y27" s="167">
        <v>0.46618765849535082</v>
      </c>
      <c r="Z27" s="168">
        <v>64101</v>
      </c>
      <c r="AA27" s="7"/>
      <c r="AB27" s="162">
        <v>709.73769533237294</v>
      </c>
      <c r="AC27" s="7"/>
      <c r="AD27" s="162">
        <v>8145102.3099999996</v>
      </c>
      <c r="AE27" s="46"/>
      <c r="AF27" s="164">
        <v>7609601</v>
      </c>
      <c r="AH27" s="171" t="s">
        <v>369</v>
      </c>
      <c r="AI27" s="182">
        <f>VLOOKUP($AI$2,'Diretrizes - Resumo'!$A$4:$AF$30,32,)</f>
        <v>14136417</v>
      </c>
      <c r="AP27" s="53"/>
    </row>
    <row r="28" spans="1:42" s="191" customFormat="1" hidden="1" x14ac:dyDescent="0.25">
      <c r="A28" s="161" t="s">
        <v>286</v>
      </c>
      <c r="B28" s="162">
        <v>483697.87</v>
      </c>
      <c r="C28" s="162">
        <v>194727.37</v>
      </c>
      <c r="D28" s="163">
        <f t="shared" si="1"/>
        <v>678425.24</v>
      </c>
      <c r="E28" s="162">
        <v>29336.400000000001</v>
      </c>
      <c r="F28" s="162">
        <v>43039.479999999996</v>
      </c>
      <c r="G28" s="163">
        <f t="shared" si="2"/>
        <v>72375.88</v>
      </c>
      <c r="H28" s="162">
        <v>955061.92999999993</v>
      </c>
      <c r="I28" s="162">
        <v>58546.3</v>
      </c>
      <c r="J28" s="163">
        <f t="shared" si="0"/>
        <v>1764409.3499999999</v>
      </c>
      <c r="K28" s="51" t="b">
        <v>1</v>
      </c>
      <c r="L28" s="162">
        <v>32527.889542680954</v>
      </c>
      <c r="M28" s="162">
        <v>20244.36</v>
      </c>
      <c r="N28" s="162">
        <v>406031.47</v>
      </c>
      <c r="O28" s="46"/>
      <c r="P28" s="162">
        <v>134421.32</v>
      </c>
      <c r="Q28" s="162">
        <v>16240.610046843069</v>
      </c>
      <c r="R28" s="47"/>
      <c r="S28" s="162">
        <v>5260.2</v>
      </c>
      <c r="T28" s="7"/>
      <c r="U28" s="166">
        <v>1888</v>
      </c>
      <c r="V28" s="166">
        <v>1844</v>
      </c>
      <c r="W28" s="167">
        <v>0.33622559652928419</v>
      </c>
      <c r="X28" s="166">
        <v>265</v>
      </c>
      <c r="Y28" s="167">
        <v>0.43396226415094341</v>
      </c>
      <c r="Z28" s="168">
        <v>9981</v>
      </c>
      <c r="AA28" s="7"/>
      <c r="AB28" s="162">
        <v>132.59181221453613</v>
      </c>
      <c r="AC28" s="7"/>
      <c r="AD28" s="162">
        <v>866702.58</v>
      </c>
      <c r="AE28" s="46"/>
      <c r="AF28" s="164">
        <v>2209558</v>
      </c>
      <c r="AP28" s="53"/>
    </row>
    <row r="29" spans="1:42" hidden="1" x14ac:dyDescent="0.25">
      <c r="A29" s="161" t="s">
        <v>285</v>
      </c>
      <c r="B29" s="162">
        <v>19107632.379999999</v>
      </c>
      <c r="C29" s="162">
        <v>5826109.0600000005</v>
      </c>
      <c r="D29" s="163">
        <f t="shared" si="1"/>
        <v>24933741.439999998</v>
      </c>
      <c r="E29" s="162">
        <v>1441118.08</v>
      </c>
      <c r="F29" s="162">
        <v>764502.92999999993</v>
      </c>
      <c r="G29" s="163">
        <f t="shared" si="2"/>
        <v>2205621.0099999998</v>
      </c>
      <c r="H29" s="162">
        <v>33975555.409999996</v>
      </c>
      <c r="I29" s="162">
        <v>2838830.4299999997</v>
      </c>
      <c r="J29" s="163">
        <f t="shared" si="0"/>
        <v>63953748.289999992</v>
      </c>
      <c r="K29" s="51" t="b">
        <v>1</v>
      </c>
      <c r="L29" s="162">
        <v>1179023.6991601952</v>
      </c>
      <c r="M29" s="162">
        <v>0</v>
      </c>
      <c r="N29" s="162">
        <v>0</v>
      </c>
      <c r="O29" s="46"/>
      <c r="P29" s="162">
        <v>4906980.83</v>
      </c>
      <c r="Q29" s="162">
        <v>635192.14256462257</v>
      </c>
      <c r="S29" s="162">
        <v>232126.44</v>
      </c>
      <c r="T29" s="7"/>
      <c r="U29" s="166">
        <v>72216</v>
      </c>
      <c r="V29" s="166">
        <v>66746</v>
      </c>
      <c r="W29" s="167">
        <v>0.28179965840649629</v>
      </c>
      <c r="X29" s="166">
        <v>9145</v>
      </c>
      <c r="Y29" s="167">
        <v>0.38173865500273374</v>
      </c>
      <c r="Z29" s="168">
        <v>355066</v>
      </c>
      <c r="AA29" s="7"/>
      <c r="AB29" s="162">
        <v>21894.15753230952</v>
      </c>
      <c r="AC29" s="7"/>
      <c r="AD29" s="162">
        <v>75833872.370000005</v>
      </c>
      <c r="AE29" s="46"/>
      <c r="AF29" s="164">
        <v>44420459</v>
      </c>
      <c r="AP29" s="53"/>
    </row>
    <row r="30" spans="1:42" hidden="1" x14ac:dyDescent="0.25">
      <c r="A30" s="161" t="s">
        <v>284</v>
      </c>
      <c r="B30" s="162">
        <v>270066.33</v>
      </c>
      <c r="C30" s="162">
        <v>129805.04999999999</v>
      </c>
      <c r="D30" s="163">
        <f t="shared" si="1"/>
        <v>399871.38</v>
      </c>
      <c r="E30" s="162">
        <v>28032.92</v>
      </c>
      <c r="F30" s="162">
        <v>11065</v>
      </c>
      <c r="G30" s="163">
        <f t="shared" si="2"/>
        <v>39097.919999999998</v>
      </c>
      <c r="H30" s="162">
        <v>489061.37</v>
      </c>
      <c r="I30" s="162">
        <v>49813.14</v>
      </c>
      <c r="J30" s="163">
        <f t="shared" si="0"/>
        <v>977843.81</v>
      </c>
      <c r="K30" s="51" t="b">
        <v>1</v>
      </c>
      <c r="L30" s="162">
        <v>18027.106381028083</v>
      </c>
      <c r="M30" s="162">
        <v>18294.36</v>
      </c>
      <c r="N30" s="162">
        <v>1010949.6999999998</v>
      </c>
      <c r="O30" s="46"/>
      <c r="P30" s="162">
        <v>74124.55</v>
      </c>
      <c r="Q30" s="162">
        <v>9079.2753811337971</v>
      </c>
      <c r="S30" s="162">
        <v>3994.16</v>
      </c>
      <c r="T30" s="7"/>
      <c r="U30" s="166">
        <v>1121</v>
      </c>
      <c r="V30" s="166">
        <v>1096</v>
      </c>
      <c r="W30" s="167">
        <v>0.34397810218978092</v>
      </c>
      <c r="X30" s="166">
        <v>309</v>
      </c>
      <c r="Y30" s="167">
        <v>0.66666666666666674</v>
      </c>
      <c r="Z30" s="168">
        <v>5111</v>
      </c>
      <c r="AA30" s="7"/>
      <c r="AB30" s="162">
        <v>133.77371460876759</v>
      </c>
      <c r="AC30" s="7"/>
      <c r="AD30" s="162">
        <v>1475989.33</v>
      </c>
      <c r="AE30" s="46"/>
      <c r="AF30" s="164">
        <v>1511459</v>
      </c>
      <c r="AP30" s="53"/>
    </row>
    <row r="31" spans="1:42" s="191" customFormat="1" hidden="1" x14ac:dyDescent="0.25">
      <c r="A31" s="190">
        <v>1</v>
      </c>
      <c r="B31" s="190">
        <v>2</v>
      </c>
      <c r="C31" s="190">
        <v>3</v>
      </c>
      <c r="D31" s="190">
        <v>4</v>
      </c>
      <c r="E31" s="190">
        <v>5</v>
      </c>
      <c r="F31" s="190">
        <v>6</v>
      </c>
      <c r="G31" s="190">
        <v>7</v>
      </c>
      <c r="H31" s="190">
        <v>8</v>
      </c>
      <c r="I31" s="190">
        <v>9</v>
      </c>
      <c r="J31" s="190">
        <v>10</v>
      </c>
      <c r="K31" s="190">
        <v>11</v>
      </c>
      <c r="L31" s="190">
        <v>12</v>
      </c>
      <c r="M31" s="190">
        <v>13</v>
      </c>
      <c r="N31" s="190">
        <v>14</v>
      </c>
      <c r="O31" s="190">
        <v>15</v>
      </c>
      <c r="P31" s="190">
        <v>16</v>
      </c>
      <c r="Q31" s="190">
        <v>17</v>
      </c>
      <c r="R31" s="190">
        <v>18</v>
      </c>
      <c r="S31" s="190">
        <v>19</v>
      </c>
      <c r="T31" s="190">
        <v>20</v>
      </c>
      <c r="U31" s="190">
        <v>21</v>
      </c>
      <c r="V31" s="190">
        <v>22</v>
      </c>
      <c r="W31" s="190">
        <v>23</v>
      </c>
      <c r="X31" s="190">
        <v>24</v>
      </c>
      <c r="Y31" s="190">
        <v>25</v>
      </c>
      <c r="Z31" s="190">
        <v>26</v>
      </c>
      <c r="AA31" s="190">
        <v>27</v>
      </c>
      <c r="AB31" s="190">
        <v>28</v>
      </c>
      <c r="AC31" s="190">
        <v>29</v>
      </c>
      <c r="AD31" s="190">
        <v>30</v>
      </c>
      <c r="AE31" s="190">
        <v>31</v>
      </c>
      <c r="AF31" s="190">
        <v>32</v>
      </c>
    </row>
    <row r="32" spans="1:42" hidden="1" x14ac:dyDescent="0.25">
      <c r="P32" s="186"/>
      <c r="Q32" s="186"/>
    </row>
    <row r="33" spans="16:17" hidden="1" x14ac:dyDescent="0.25">
      <c r="P33" s="186"/>
      <c r="Q33" s="186"/>
    </row>
    <row r="34" spans="16:17" hidden="1" x14ac:dyDescent="0.25">
      <c r="P34" s="186"/>
      <c r="Q34" s="186"/>
    </row>
    <row r="35" spans="16:17" hidden="1" x14ac:dyDescent="0.25">
      <c r="P35" s="186"/>
      <c r="Q35" s="186"/>
    </row>
  </sheetData>
  <mergeCells count="19">
    <mergeCell ref="AH26:AI26"/>
    <mergeCell ref="H2:H3"/>
    <mergeCell ref="J2:J3"/>
    <mergeCell ref="L1:N2"/>
    <mergeCell ref="P1:Q2"/>
    <mergeCell ref="U1:Z1"/>
    <mergeCell ref="U2:W2"/>
    <mergeCell ref="X2:Y2"/>
    <mergeCell ref="S1:S2"/>
    <mergeCell ref="AB2:AB3"/>
    <mergeCell ref="AD2:AD3"/>
    <mergeCell ref="AK2:AL2"/>
    <mergeCell ref="AH18:AI18"/>
    <mergeCell ref="A1:A3"/>
    <mergeCell ref="B1:J1"/>
    <mergeCell ref="E2:G2"/>
    <mergeCell ref="B2:D2"/>
    <mergeCell ref="I2:I3"/>
    <mergeCell ref="AF2:AF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'Validação de dados'!$G$1:$G$27</xm:f>
          </x14:formula1>
          <xm:sqref>AI2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O21"/>
  <sheetViews>
    <sheetView showGridLines="0" topLeftCell="B1" zoomScale="80" zoomScaleNormal="80" workbookViewId="0">
      <selection activeCell="K21" sqref="K21"/>
    </sheetView>
  </sheetViews>
  <sheetFormatPr defaultColWidth="0" defaultRowHeight="15.75" zeroHeight="1" x14ac:dyDescent="0.25"/>
  <cols>
    <col min="1" max="1" width="16.5703125" style="44" customWidth="1"/>
    <col min="2" max="2" width="70.42578125" style="25" customWidth="1"/>
    <col min="3" max="3" width="8.42578125" style="26" bestFit="1" customWidth="1"/>
    <col min="4" max="4" width="17.7109375" style="27" customWidth="1"/>
    <col min="5" max="5" width="8.140625" style="26" bestFit="1" customWidth="1"/>
    <col min="6" max="6" width="17.7109375" style="27" customWidth="1"/>
    <col min="7" max="7" width="8.42578125" style="26" bestFit="1" customWidth="1"/>
    <col min="8" max="8" width="17.7109375" style="27" customWidth="1"/>
    <col min="9" max="9" width="8.42578125" style="26" bestFit="1" customWidth="1"/>
    <col min="10" max="10" width="17.7109375" style="27" customWidth="1"/>
    <col min="11" max="11" width="15" style="25" bestFit="1" customWidth="1"/>
    <col min="12" max="12" width="8.5703125" style="25" customWidth="1"/>
    <col min="13" max="13" width="130.7109375" style="8" bestFit="1" customWidth="1"/>
    <col min="14" max="249" width="0" style="25" hidden="1" customWidth="1"/>
    <col min="250" max="16384" width="22.5703125" style="25" hidden="1"/>
  </cols>
  <sheetData>
    <row r="1" spans="1:13" x14ac:dyDescent="0.25">
      <c r="A1" s="278" t="s">
        <v>352</v>
      </c>
      <c r="B1" s="278" t="s">
        <v>351</v>
      </c>
      <c r="C1" s="274" t="s">
        <v>350</v>
      </c>
      <c r="D1" s="274"/>
      <c r="E1" s="274" t="s">
        <v>353</v>
      </c>
      <c r="F1" s="274"/>
      <c r="G1" s="274" t="s">
        <v>349</v>
      </c>
      <c r="H1" s="274"/>
      <c r="I1" s="274" t="s">
        <v>348</v>
      </c>
      <c r="J1" s="274"/>
      <c r="K1" s="275" t="s">
        <v>347</v>
      </c>
      <c r="L1" s="34"/>
      <c r="M1" s="66" t="s">
        <v>413</v>
      </c>
    </row>
    <row r="2" spans="1:13" ht="16.5" thickBot="1" x14ac:dyDescent="0.3">
      <c r="A2" s="280"/>
      <c r="B2" s="280"/>
      <c r="C2" s="55" t="s">
        <v>346</v>
      </c>
      <c r="D2" s="56" t="s">
        <v>49</v>
      </c>
      <c r="E2" s="55" t="s">
        <v>346</v>
      </c>
      <c r="F2" s="56" t="s">
        <v>49</v>
      </c>
      <c r="G2" s="55" t="s">
        <v>346</v>
      </c>
      <c r="H2" s="56" t="s">
        <v>49</v>
      </c>
      <c r="I2" s="55" t="s">
        <v>346</v>
      </c>
      <c r="J2" s="56" t="s">
        <v>49</v>
      </c>
      <c r="K2" s="276"/>
      <c r="L2" s="34"/>
      <c r="M2" s="67" t="s">
        <v>354</v>
      </c>
    </row>
    <row r="3" spans="1:13" ht="30.75" customHeight="1" x14ac:dyDescent="0.25">
      <c r="A3" s="277" t="s">
        <v>154</v>
      </c>
      <c r="B3" s="38" t="s">
        <v>18</v>
      </c>
      <c r="C3" s="57">
        <f>COUNTIFS('Quadro Geral'!$F:$F,'Matriz de Obj. Estrat.'!$B3,'Quadro Geral'!$B:$B,"P")</f>
        <v>0</v>
      </c>
      <c r="D3" s="58">
        <f>SUMIFS('Quadro Geral'!$L:$L,'Quadro Geral'!$F:$F,'Matriz de Obj. Estrat.'!$B3,'Quadro Geral'!$B:$B,"P")</f>
        <v>0</v>
      </c>
      <c r="E3" s="57">
        <f>COUNTIFS('Quadro Geral'!$F:$F,'Matriz de Obj. Estrat.'!$B3,'Quadro Geral'!$B:$B,"PE")</f>
        <v>0</v>
      </c>
      <c r="F3" s="58">
        <f>SUMIFS('Quadro Geral'!$L:$L,'Quadro Geral'!$F:$F,'Matriz de Obj. Estrat.'!$B3,'Quadro Geral'!$B:$B,"PE")</f>
        <v>0</v>
      </c>
      <c r="G3" s="57">
        <f>COUNTIFS('Quadro Geral'!$F:$F,'Matriz de Obj. Estrat.'!$B3,'Quadro Geral'!$B:$B,"A")</f>
        <v>0</v>
      </c>
      <c r="H3" s="58">
        <f>SUMIFS('Quadro Geral'!$L:$L,'Quadro Geral'!$F:$F,'Matriz de Obj. Estrat.'!$B3,'Quadro Geral'!$B:$B,"A")</f>
        <v>0</v>
      </c>
      <c r="I3" s="57">
        <f>C3+E3+G3</f>
        <v>0</v>
      </c>
      <c r="J3" s="58">
        <f>D3+F3+H3</f>
        <v>0</v>
      </c>
      <c r="K3" s="59">
        <f t="shared" ref="K3:K18" si="0">IFERROR(J3/$J$19*100,0)</f>
        <v>0</v>
      </c>
      <c r="L3" s="34"/>
      <c r="M3" s="63" t="s">
        <v>25</v>
      </c>
    </row>
    <row r="4" spans="1:13" ht="30.75" customHeight="1" x14ac:dyDescent="0.25">
      <c r="A4" s="277"/>
      <c r="B4" s="38" t="s">
        <v>140</v>
      </c>
      <c r="C4" s="57">
        <f>COUNTIFS('Quadro Geral'!$F:$F,'Matriz de Obj. Estrat.'!$B4,'Quadro Geral'!$B:$B,"P")</f>
        <v>0</v>
      </c>
      <c r="D4" s="58">
        <f>SUMIFS('Quadro Geral'!$L:$L,'Quadro Geral'!$F:$F,'Matriz de Obj. Estrat.'!$B4,'Quadro Geral'!$B:$B,"P")</f>
        <v>0</v>
      </c>
      <c r="E4" s="57">
        <f>COUNTIFS('Quadro Geral'!$F:$F,'Matriz de Obj. Estrat.'!$B4,'Quadro Geral'!$B:$B,"PE")</f>
        <v>0</v>
      </c>
      <c r="F4" s="58">
        <f>SUMIFS('Quadro Geral'!$L:$L,'Quadro Geral'!$F:$F,'Matriz de Obj. Estrat.'!$B4,'Quadro Geral'!$B:$B,"PE")</f>
        <v>0</v>
      </c>
      <c r="G4" s="57">
        <f>COUNTIFS('Quadro Geral'!$F:$F,'Matriz de Obj. Estrat.'!$B4,'Quadro Geral'!$B:$B,"A")</f>
        <v>0</v>
      </c>
      <c r="H4" s="58">
        <f>SUMIFS('Quadro Geral'!$L:$L,'Quadro Geral'!$F:$F,'Matriz de Obj. Estrat.'!$B4,'Quadro Geral'!$B:$B,"A")</f>
        <v>0</v>
      </c>
      <c r="I4" s="57">
        <f t="shared" ref="I4:I18" si="1">C4+E4+G4</f>
        <v>0</v>
      </c>
      <c r="J4" s="58">
        <f t="shared" ref="J4:J18" si="2">D4+F4+H4</f>
        <v>0</v>
      </c>
      <c r="K4" s="59">
        <f t="shared" si="0"/>
        <v>0</v>
      </c>
      <c r="L4" s="34"/>
      <c r="M4" s="64" t="s">
        <v>26</v>
      </c>
    </row>
    <row r="5" spans="1:13" ht="30.75" customHeight="1" thickBot="1" x14ac:dyDescent="0.3">
      <c r="A5" s="278" t="s">
        <v>345</v>
      </c>
      <c r="B5" s="38" t="s">
        <v>19</v>
      </c>
      <c r="C5" s="57">
        <f>COUNTIFS('Quadro Geral'!$F:$F,'Matriz de Obj. Estrat.'!$B5,'Quadro Geral'!$B:$B,"P")</f>
        <v>1</v>
      </c>
      <c r="D5" s="58">
        <f>SUMIFS('Quadro Geral'!$L:$L,'Quadro Geral'!$F:$F,'Matriz de Obj. Estrat.'!$B5,'Quadro Geral'!$B:$B,"P")</f>
        <v>130000</v>
      </c>
      <c r="E5" s="57">
        <f>COUNTIFS('Quadro Geral'!$F:$F,'Matriz de Obj. Estrat.'!$B5,'Quadro Geral'!$B:$B,"PE")</f>
        <v>0</v>
      </c>
      <c r="F5" s="58">
        <f>SUMIFS('Quadro Geral'!$L:$L,'Quadro Geral'!$F:$F,'Matriz de Obj. Estrat.'!$B5,'Quadro Geral'!$B:$B,"PE")</f>
        <v>0</v>
      </c>
      <c r="G5" s="57">
        <f>COUNTIFS('Quadro Geral'!$F:$F,'Matriz de Obj. Estrat.'!$B5,'Quadro Geral'!$B:$B,"A")</f>
        <v>4</v>
      </c>
      <c r="H5" s="58">
        <f>SUMIFS('Quadro Geral'!$L:$L,'Quadro Geral'!$F:$F,'Matriz de Obj. Estrat.'!$B5,'Quadro Geral'!$B:$B,"A")</f>
        <v>1399336.41</v>
      </c>
      <c r="I5" s="57">
        <f t="shared" si="1"/>
        <v>5</v>
      </c>
      <c r="J5" s="58">
        <f t="shared" si="2"/>
        <v>1529336.41</v>
      </c>
      <c r="K5" s="59">
        <f t="shared" si="0"/>
        <v>12.608251594302992</v>
      </c>
      <c r="L5" s="34"/>
      <c r="M5" s="65"/>
    </row>
    <row r="6" spans="1:13" ht="30.75" customHeight="1" x14ac:dyDescent="0.25">
      <c r="A6" s="278"/>
      <c r="B6" s="38" t="s">
        <v>108</v>
      </c>
      <c r="C6" s="57">
        <f>COUNTIFS('Quadro Geral'!$F:$F,'Matriz de Obj. Estrat.'!$B6,'Quadro Geral'!$B:$B,"P")</f>
        <v>0</v>
      </c>
      <c r="D6" s="58">
        <f>SUMIFS('Quadro Geral'!$L:$L,'Quadro Geral'!$F:$F,'Matriz de Obj. Estrat.'!$B6,'Quadro Geral'!$B:$B,"P")</f>
        <v>0</v>
      </c>
      <c r="E6" s="57">
        <f>COUNTIFS('Quadro Geral'!$F:$F,'Matriz de Obj. Estrat.'!$B6,'Quadro Geral'!$B:$B,"PE")</f>
        <v>0</v>
      </c>
      <c r="F6" s="58">
        <f>SUMIFS('Quadro Geral'!$L:$L,'Quadro Geral'!$F:$F,'Matriz de Obj. Estrat.'!$B6,'Quadro Geral'!$B:$B,"PE")</f>
        <v>0</v>
      </c>
      <c r="G6" s="57">
        <f>COUNTIFS('Quadro Geral'!$F:$F,'Matriz de Obj. Estrat.'!$B6,'Quadro Geral'!$B:$B,"A")</f>
        <v>3</v>
      </c>
      <c r="H6" s="58">
        <f>SUMIFS('Quadro Geral'!$L:$L,'Quadro Geral'!$F:$F,'Matriz de Obj. Estrat.'!$B6,'Quadro Geral'!$B:$B,"A")</f>
        <v>592537.75</v>
      </c>
      <c r="I6" s="57">
        <f t="shared" si="1"/>
        <v>3</v>
      </c>
      <c r="J6" s="58">
        <f t="shared" si="2"/>
        <v>592537.75</v>
      </c>
      <c r="K6" s="59">
        <f t="shared" si="0"/>
        <v>4.8850370541575012</v>
      </c>
      <c r="L6" s="34"/>
    </row>
    <row r="7" spans="1:13" ht="30.75" customHeight="1" x14ac:dyDescent="0.25">
      <c r="A7" s="278"/>
      <c r="B7" s="38" t="s">
        <v>21</v>
      </c>
      <c r="C7" s="57">
        <f>COUNTIFS('Quadro Geral'!$F:$F,'Matriz de Obj. Estrat.'!$B7,'Quadro Geral'!$B:$B,"P")</f>
        <v>1</v>
      </c>
      <c r="D7" s="58">
        <f>SUMIFS('Quadro Geral'!$L:$L,'Quadro Geral'!$F:$F,'Matriz de Obj. Estrat.'!$B7,'Quadro Geral'!$B:$B,"P")</f>
        <v>150000</v>
      </c>
      <c r="E7" s="57">
        <f>COUNTIFS('Quadro Geral'!$F:$F,'Matriz de Obj. Estrat.'!$B7,'Quadro Geral'!$B:$B,"PE")</f>
        <v>0</v>
      </c>
      <c r="F7" s="58">
        <f>SUMIFS('Quadro Geral'!$L:$L,'Quadro Geral'!$F:$F,'Matriz de Obj. Estrat.'!$B7,'Quadro Geral'!$B:$B,"PE")</f>
        <v>0</v>
      </c>
      <c r="G7" s="57">
        <f>COUNTIFS('Quadro Geral'!$F:$F,'Matriz de Obj. Estrat.'!$B7,'Quadro Geral'!$B:$B,"A")</f>
        <v>0</v>
      </c>
      <c r="H7" s="58">
        <f>SUMIFS('Quadro Geral'!$L:$L,'Quadro Geral'!$F:$F,'Matriz de Obj. Estrat.'!$B7,'Quadro Geral'!$B:$B,"A")</f>
        <v>0</v>
      </c>
      <c r="I7" s="57">
        <f t="shared" si="1"/>
        <v>1</v>
      </c>
      <c r="J7" s="58">
        <f t="shared" si="2"/>
        <v>150000</v>
      </c>
      <c r="K7" s="59">
        <f t="shared" si="0"/>
        <v>1.2366394514503509</v>
      </c>
      <c r="L7" s="34"/>
    </row>
    <row r="8" spans="1:13" ht="30.75" customHeight="1" x14ac:dyDescent="0.25">
      <c r="A8" s="278"/>
      <c r="B8" s="38" t="s">
        <v>120</v>
      </c>
      <c r="C8" s="57">
        <f>COUNTIFS('Quadro Geral'!$F:$F,'Matriz de Obj. Estrat.'!$B8,'Quadro Geral'!$B:$B,"P")</f>
        <v>0</v>
      </c>
      <c r="D8" s="58">
        <f>SUMIFS('Quadro Geral'!$L:$L,'Quadro Geral'!$F:$F,'Matriz de Obj. Estrat.'!$B8,'Quadro Geral'!$B:$B,"P")</f>
        <v>0</v>
      </c>
      <c r="E8" s="57">
        <f>COUNTIFS('Quadro Geral'!$F:$F,'Matriz de Obj. Estrat.'!$B8,'Quadro Geral'!$B:$B,"PE")</f>
        <v>0</v>
      </c>
      <c r="F8" s="58">
        <f>SUMIFS('Quadro Geral'!$L:$L,'Quadro Geral'!$F:$F,'Matriz de Obj. Estrat.'!$B8,'Quadro Geral'!$B:$B,"PE")</f>
        <v>0</v>
      </c>
      <c r="G8" s="57">
        <f>COUNTIFS('Quadro Geral'!$F:$F,'Matriz de Obj. Estrat.'!$B8,'Quadro Geral'!$B:$B,"A")</f>
        <v>1</v>
      </c>
      <c r="H8" s="58">
        <f>SUMIFS('Quadro Geral'!$L:$L,'Quadro Geral'!$F:$F,'Matriz de Obj. Estrat.'!$B8,'Quadro Geral'!$B:$B,"A")</f>
        <v>136220</v>
      </c>
      <c r="I8" s="57">
        <f t="shared" si="1"/>
        <v>1</v>
      </c>
      <c r="J8" s="58">
        <f t="shared" si="2"/>
        <v>136220</v>
      </c>
      <c r="K8" s="59">
        <f t="shared" si="0"/>
        <v>1.123033507177112</v>
      </c>
      <c r="L8" s="34"/>
    </row>
    <row r="9" spans="1:13" ht="30.75" customHeight="1" x14ac:dyDescent="0.25">
      <c r="A9" s="278"/>
      <c r="B9" s="38" t="s">
        <v>141</v>
      </c>
      <c r="C9" s="57">
        <f>COUNTIFS('Quadro Geral'!$F:$F,'Matriz de Obj. Estrat.'!$B9,'Quadro Geral'!$B:$B,"P")</f>
        <v>0</v>
      </c>
      <c r="D9" s="58">
        <f>SUMIFS('Quadro Geral'!$L:$L,'Quadro Geral'!$F:$F,'Matriz de Obj. Estrat.'!$B9,'Quadro Geral'!$B:$B,"P")</f>
        <v>0</v>
      </c>
      <c r="E9" s="57">
        <f>COUNTIFS('Quadro Geral'!$F:$F,'Matriz de Obj. Estrat.'!$B9,'Quadro Geral'!$B:$B,"PE")</f>
        <v>0</v>
      </c>
      <c r="F9" s="58">
        <f>SUMIFS('Quadro Geral'!$L:$L,'Quadro Geral'!$F:$F,'Matriz de Obj. Estrat.'!$B9,'Quadro Geral'!$B:$B,"PE")</f>
        <v>0</v>
      </c>
      <c r="G9" s="57">
        <f>COUNTIFS('Quadro Geral'!$F:$F,'Matriz de Obj. Estrat.'!$B9,'Quadro Geral'!$B:$B,"A")</f>
        <v>0</v>
      </c>
      <c r="H9" s="58">
        <f>SUMIFS('Quadro Geral'!$L:$L,'Quadro Geral'!$F:$F,'Matriz de Obj. Estrat.'!$B9,'Quadro Geral'!$B:$B,"A")</f>
        <v>0</v>
      </c>
      <c r="I9" s="57">
        <f t="shared" si="1"/>
        <v>0</v>
      </c>
      <c r="J9" s="58">
        <f t="shared" si="2"/>
        <v>0</v>
      </c>
      <c r="K9" s="59">
        <f t="shared" si="0"/>
        <v>0</v>
      </c>
      <c r="L9" s="34"/>
    </row>
    <row r="10" spans="1:13" ht="30.75" customHeight="1" x14ac:dyDescent="0.25">
      <c r="A10" s="278"/>
      <c r="B10" s="38" t="s">
        <v>114</v>
      </c>
      <c r="C10" s="57">
        <f>COUNTIFS('Quadro Geral'!$F:$F,'Matriz de Obj. Estrat.'!$B10,'Quadro Geral'!$B:$B,"P")</f>
        <v>0</v>
      </c>
      <c r="D10" s="58">
        <f>SUMIFS('Quadro Geral'!$L:$L,'Quadro Geral'!$F:$F,'Matriz de Obj. Estrat.'!$B10,'Quadro Geral'!$B:$B,"P")</f>
        <v>0</v>
      </c>
      <c r="E10" s="57">
        <f>COUNTIFS('Quadro Geral'!$F:$F,'Matriz de Obj. Estrat.'!$B10,'Quadro Geral'!$B:$B,"PE")</f>
        <v>0</v>
      </c>
      <c r="F10" s="58">
        <f>SUMIFS('Quadro Geral'!$L:$L,'Quadro Geral'!$F:$F,'Matriz de Obj. Estrat.'!$B10,'Quadro Geral'!$B:$B,"PE")</f>
        <v>0</v>
      </c>
      <c r="G10" s="57">
        <f>COUNTIFS('Quadro Geral'!$F:$F,'Matriz de Obj. Estrat.'!$B10,'Quadro Geral'!$B:$B,"A")</f>
        <v>1</v>
      </c>
      <c r="H10" s="58">
        <f>SUMIFS('Quadro Geral'!$L:$L,'Quadro Geral'!$F:$F,'Matriz de Obj. Estrat.'!$B10,'Quadro Geral'!$B:$B,"A")</f>
        <v>358000</v>
      </c>
      <c r="I10" s="57">
        <f t="shared" si="1"/>
        <v>1</v>
      </c>
      <c r="J10" s="58">
        <f t="shared" si="2"/>
        <v>358000</v>
      </c>
      <c r="K10" s="59">
        <f t="shared" si="0"/>
        <v>2.9514461574615041</v>
      </c>
      <c r="L10" s="34"/>
    </row>
    <row r="11" spans="1:13" ht="30.75" customHeight="1" x14ac:dyDescent="0.25">
      <c r="A11" s="278"/>
      <c r="B11" s="38" t="s">
        <v>24</v>
      </c>
      <c r="C11" s="57">
        <f>COUNTIFS('Quadro Geral'!$F:$F,'Matriz de Obj. Estrat.'!$B11,'Quadro Geral'!$B:$B,"P")</f>
        <v>2</v>
      </c>
      <c r="D11" s="58">
        <f>SUMIFS('Quadro Geral'!$L:$L,'Quadro Geral'!$F:$F,'Matriz de Obj. Estrat.'!$B11,'Quadro Geral'!$B:$B,"P")</f>
        <v>106600</v>
      </c>
      <c r="E11" s="57">
        <f>COUNTIFS('Quadro Geral'!$F:$F,'Matriz de Obj. Estrat.'!$B11,'Quadro Geral'!$B:$B,"PE")</f>
        <v>0</v>
      </c>
      <c r="F11" s="58">
        <f>SUMIFS('Quadro Geral'!$L:$L,'Quadro Geral'!$F:$F,'Matriz de Obj. Estrat.'!$B11,'Quadro Geral'!$B:$B,"PE")</f>
        <v>0</v>
      </c>
      <c r="G11" s="57">
        <f>COUNTIFS('Quadro Geral'!$F:$F,'Matriz de Obj. Estrat.'!$B11,'Quadro Geral'!$B:$B,"A")</f>
        <v>1</v>
      </c>
      <c r="H11" s="58">
        <f>SUMIFS('Quadro Geral'!$L:$L,'Quadro Geral'!$F:$F,'Matriz de Obj. Estrat.'!$B11,'Quadro Geral'!$B:$B,"A")</f>
        <v>245510.95</v>
      </c>
      <c r="I11" s="57">
        <f t="shared" si="1"/>
        <v>3</v>
      </c>
      <c r="J11" s="58">
        <f t="shared" si="2"/>
        <v>352110.95</v>
      </c>
      <c r="K11" s="59">
        <f t="shared" si="0"/>
        <v>2.902895280384413</v>
      </c>
      <c r="L11" s="34"/>
    </row>
    <row r="12" spans="1:13" ht="30.75" customHeight="1" x14ac:dyDescent="0.25">
      <c r="A12" s="278"/>
      <c r="B12" s="38" t="s">
        <v>25</v>
      </c>
      <c r="C12" s="57">
        <f>COUNTIFS('Quadro Geral'!$F:$F,'Matriz de Obj. Estrat.'!$B12,'Quadro Geral'!$B:$B,"P")</f>
        <v>0</v>
      </c>
      <c r="D12" s="58">
        <f>SUMIFS('Quadro Geral'!$L:$L,'Quadro Geral'!$F:$F,'Matriz de Obj. Estrat.'!$B12,'Quadro Geral'!$B:$B,"P")</f>
        <v>0</v>
      </c>
      <c r="E12" s="57">
        <f>COUNTIFS('Quadro Geral'!$F:$F,'Matriz de Obj. Estrat.'!$B12,'Quadro Geral'!$B:$B,"PE")</f>
        <v>0</v>
      </c>
      <c r="F12" s="58">
        <f>SUMIFS('Quadro Geral'!$L:$L,'Quadro Geral'!$F:$F,'Matriz de Obj. Estrat.'!$B12,'Quadro Geral'!$B:$B,"PE")</f>
        <v>0</v>
      </c>
      <c r="G12" s="57">
        <f>COUNTIFS('Quadro Geral'!$F:$F,'Matriz de Obj. Estrat.'!$B12,'Quadro Geral'!$B:$B,"A")</f>
        <v>2</v>
      </c>
      <c r="H12" s="58">
        <f>SUMIFS('Quadro Geral'!$L:$L,'Quadro Geral'!$F:$F,'Matriz de Obj. Estrat.'!$B12,'Quadro Geral'!$B:$B,"A")</f>
        <v>430222.30000000005</v>
      </c>
      <c r="I12" s="57">
        <f t="shared" si="1"/>
        <v>2</v>
      </c>
      <c r="J12" s="58">
        <f t="shared" si="2"/>
        <v>430222.30000000005</v>
      </c>
      <c r="K12" s="59">
        <f t="shared" si="0"/>
        <v>3.5468657938247223</v>
      </c>
      <c r="L12" s="34"/>
    </row>
    <row r="13" spans="1:13" ht="30.75" customHeight="1" x14ac:dyDescent="0.25">
      <c r="A13" s="278"/>
      <c r="B13" s="38" t="s">
        <v>26</v>
      </c>
      <c r="C13" s="57">
        <f>COUNTIFS('Quadro Geral'!$F:$F,'Matriz de Obj. Estrat.'!$B13,'Quadro Geral'!$B:$B,"P")</f>
        <v>1</v>
      </c>
      <c r="D13" s="58">
        <f>SUMIFS('Quadro Geral'!$L:$L,'Quadro Geral'!$F:$F,'Matriz de Obj. Estrat.'!$B13,'Quadro Geral'!$B:$B,"P")</f>
        <v>270000</v>
      </c>
      <c r="E13" s="57">
        <f>COUNTIFS('Quadro Geral'!$F:$F,'Matriz de Obj. Estrat.'!$B13,'Quadro Geral'!$B:$B,"PE")</f>
        <v>0</v>
      </c>
      <c r="F13" s="58">
        <f>SUMIFS('Quadro Geral'!$L:$L,'Quadro Geral'!$F:$F,'Matriz de Obj. Estrat.'!$B13,'Quadro Geral'!$B:$B,"PE")</f>
        <v>0</v>
      </c>
      <c r="G13" s="57">
        <f>COUNTIFS('Quadro Geral'!$F:$F,'Matriz de Obj. Estrat.'!$B13,'Quadro Geral'!$B:$B,"A")</f>
        <v>0</v>
      </c>
      <c r="H13" s="58">
        <f>SUMIFS('Quadro Geral'!$L:$L,'Quadro Geral'!$F:$F,'Matriz de Obj. Estrat.'!$B13,'Quadro Geral'!$B:$B,"A")</f>
        <v>0</v>
      </c>
      <c r="I13" s="57">
        <f t="shared" si="1"/>
        <v>1</v>
      </c>
      <c r="J13" s="58">
        <f t="shared" si="2"/>
        <v>270000</v>
      </c>
      <c r="K13" s="59">
        <f t="shared" si="0"/>
        <v>2.2259510126106314</v>
      </c>
      <c r="L13" s="34"/>
    </row>
    <row r="14" spans="1:13" ht="30.75" customHeight="1" x14ac:dyDescent="0.25">
      <c r="A14" s="278"/>
      <c r="B14" s="38" t="s">
        <v>27</v>
      </c>
      <c r="C14" s="57">
        <f>COUNTIFS('Quadro Geral'!$F:$F,'Matriz de Obj. Estrat.'!$B14,'Quadro Geral'!$B:$B,"P")</f>
        <v>0</v>
      </c>
      <c r="D14" s="58">
        <f>SUMIFS('Quadro Geral'!$L:$L,'Quadro Geral'!$F:$F,'Matriz de Obj. Estrat.'!$B14,'Quadro Geral'!$B:$B,"P")</f>
        <v>0</v>
      </c>
      <c r="E14" s="57">
        <f>COUNTIFS('Quadro Geral'!$F:$F,'Matriz de Obj. Estrat.'!$B14,'Quadro Geral'!$B:$B,"PE")</f>
        <v>0</v>
      </c>
      <c r="F14" s="58">
        <f>SUMIFS('Quadro Geral'!$L:$L,'Quadro Geral'!$F:$F,'Matriz de Obj. Estrat.'!$B14,'Quadro Geral'!$B:$B,"PE")</f>
        <v>0</v>
      </c>
      <c r="G14" s="57">
        <f>COUNTIFS('Quadro Geral'!$F:$F,'Matriz de Obj. Estrat.'!$B14,'Quadro Geral'!$B:$B,"A")</f>
        <v>4</v>
      </c>
      <c r="H14" s="58">
        <f>SUMIFS('Quadro Geral'!$L:$L,'Quadro Geral'!$F:$F,'Matriz de Obj. Estrat.'!$B14,'Quadro Geral'!$B:$B,"A")</f>
        <v>755188.42999999993</v>
      </c>
      <c r="I14" s="57">
        <f t="shared" si="1"/>
        <v>4</v>
      </c>
      <c r="J14" s="58">
        <f t="shared" si="2"/>
        <v>755188.42999999993</v>
      </c>
      <c r="K14" s="59">
        <f t="shared" si="0"/>
        <v>6.2259720387790107</v>
      </c>
      <c r="L14" s="34"/>
    </row>
    <row r="15" spans="1:13" ht="30.75" customHeight="1" x14ac:dyDescent="0.25">
      <c r="A15" s="278"/>
      <c r="B15" s="38" t="s">
        <v>28</v>
      </c>
      <c r="C15" s="57">
        <f>COUNTIFS('Quadro Geral'!$F:$F,'Matriz de Obj. Estrat.'!$B15,'Quadro Geral'!$B:$B,"P")</f>
        <v>0</v>
      </c>
      <c r="D15" s="58">
        <f>SUMIFS('Quadro Geral'!$L:$L,'Quadro Geral'!$F:$F,'Matriz de Obj. Estrat.'!$B15,'Quadro Geral'!$B:$B,"P")</f>
        <v>0</v>
      </c>
      <c r="E15" s="57">
        <f>COUNTIFS('Quadro Geral'!$F:$F,'Matriz de Obj. Estrat.'!$B15,'Quadro Geral'!$B:$B,"PE")</f>
        <v>0</v>
      </c>
      <c r="F15" s="58">
        <f>SUMIFS('Quadro Geral'!$L:$L,'Quadro Geral'!$F:$F,'Matriz de Obj. Estrat.'!$B15,'Quadro Geral'!$B:$B,"PE")</f>
        <v>0</v>
      </c>
      <c r="G15" s="57">
        <f>COUNTIFS('Quadro Geral'!$F:$F,'Matriz de Obj. Estrat.'!$B15,'Quadro Geral'!$B:$B,"A")</f>
        <v>4</v>
      </c>
      <c r="H15" s="58">
        <f>SUMIFS('Quadro Geral'!$L:$L,'Quadro Geral'!$F:$F,'Matriz de Obj. Estrat.'!$B15,'Quadro Geral'!$B:$B,"A")</f>
        <v>1415047.65</v>
      </c>
      <c r="I15" s="57">
        <f t="shared" si="1"/>
        <v>4</v>
      </c>
      <c r="J15" s="58">
        <f t="shared" si="2"/>
        <v>1415047.65</v>
      </c>
      <c r="K15" s="59">
        <f t="shared" si="0"/>
        <v>11.666024997814054</v>
      </c>
      <c r="L15" s="34"/>
    </row>
    <row r="16" spans="1:13" ht="30.75" customHeight="1" x14ac:dyDescent="0.25">
      <c r="A16" s="278" t="s">
        <v>344</v>
      </c>
      <c r="B16" s="38" t="s">
        <v>29</v>
      </c>
      <c r="C16" s="57">
        <f>COUNTIFS('Quadro Geral'!$F:$F,'Matriz de Obj. Estrat.'!$B16,'Quadro Geral'!$B:$B,"P")</f>
        <v>0</v>
      </c>
      <c r="D16" s="58">
        <f>SUMIFS('Quadro Geral'!$L:$L,'Quadro Geral'!$F:$F,'Matriz de Obj. Estrat.'!$B16,'Quadro Geral'!$B:$B,"P")</f>
        <v>0</v>
      </c>
      <c r="E16" s="57">
        <f>COUNTIFS('Quadro Geral'!$F:$F,'Matriz de Obj. Estrat.'!$B16,'Quadro Geral'!$B:$B,"PE")</f>
        <v>0</v>
      </c>
      <c r="F16" s="58">
        <f>SUMIFS('Quadro Geral'!$L:$L,'Quadro Geral'!$F:$F,'Matriz de Obj. Estrat.'!$B16,'Quadro Geral'!$B:$B,"PE")</f>
        <v>0</v>
      </c>
      <c r="G16" s="57">
        <f>COUNTIFS('Quadro Geral'!$F:$F,'Matriz de Obj. Estrat.'!$B16,'Quadro Geral'!$B:$B,"A")</f>
        <v>1</v>
      </c>
      <c r="H16" s="58">
        <f>SUMIFS('Quadro Geral'!$L:$L,'Quadro Geral'!$F:$F,'Matriz de Obj. Estrat.'!$B16,'Quadro Geral'!$B:$B,"A")</f>
        <v>60000</v>
      </c>
      <c r="I16" s="57">
        <f t="shared" si="1"/>
        <v>1</v>
      </c>
      <c r="J16" s="58">
        <f t="shared" si="2"/>
        <v>60000</v>
      </c>
      <c r="K16" s="59">
        <f t="shared" si="0"/>
        <v>0.49465578058014037</v>
      </c>
      <c r="L16" s="34"/>
    </row>
    <row r="17" spans="1:12" ht="30.75" customHeight="1" x14ac:dyDescent="0.25">
      <c r="A17" s="278"/>
      <c r="B17" s="38" t="s">
        <v>30</v>
      </c>
      <c r="C17" s="57">
        <f>COUNTIFS('Quadro Geral'!$F:$F,'Matriz de Obj. Estrat.'!$B17,'Quadro Geral'!$B:$B,"P")</f>
        <v>0</v>
      </c>
      <c r="D17" s="58">
        <f>SUMIFS('Quadro Geral'!$L:$L,'Quadro Geral'!$F:$F,'Matriz de Obj. Estrat.'!$B17,'Quadro Geral'!$B:$B,"P")</f>
        <v>0</v>
      </c>
      <c r="E17" s="57">
        <f>COUNTIFS('Quadro Geral'!$F:$F,'Matriz de Obj. Estrat.'!$B17,'Quadro Geral'!$B:$B,"PE")</f>
        <v>0</v>
      </c>
      <c r="F17" s="58">
        <f>SUMIFS('Quadro Geral'!$L:$L,'Quadro Geral'!$F:$F,'Matriz de Obj. Estrat.'!$B17,'Quadro Geral'!$B:$B,"PE")</f>
        <v>0</v>
      </c>
      <c r="G17" s="57">
        <f>COUNTIFS('Quadro Geral'!$F:$F,'Matriz de Obj. Estrat.'!$B17,'Quadro Geral'!$B:$B,"A")</f>
        <v>1</v>
      </c>
      <c r="H17" s="58">
        <f>SUMIFS('Quadro Geral'!$L:$L,'Quadro Geral'!$F:$F,'Matriz de Obj. Estrat.'!$B17,'Quadro Geral'!$B:$B,"A")</f>
        <v>640983.5</v>
      </c>
      <c r="I17" s="57">
        <f t="shared" si="1"/>
        <v>1</v>
      </c>
      <c r="J17" s="58">
        <f t="shared" si="2"/>
        <v>640983.5</v>
      </c>
      <c r="K17" s="59">
        <f t="shared" si="0"/>
        <v>5.2844365588581725</v>
      </c>
      <c r="L17" s="34"/>
    </row>
    <row r="18" spans="1:12" ht="31.5" x14ac:dyDescent="0.25">
      <c r="A18" s="278"/>
      <c r="B18" s="38" t="s">
        <v>31</v>
      </c>
      <c r="C18" s="57">
        <f>COUNTIFS('Quadro Geral'!$F:$F,'Matriz de Obj. Estrat.'!$B18,'Quadro Geral'!$B:$B,"P")</f>
        <v>3</v>
      </c>
      <c r="D18" s="58">
        <f>SUMIFS('Quadro Geral'!$L:$L,'Quadro Geral'!$F:$F,'Matriz de Obj. Estrat.'!$B18,'Quadro Geral'!$B:$B,"P")</f>
        <v>5440000</v>
      </c>
      <c r="E18" s="57">
        <f>COUNTIFS('Quadro Geral'!$F:$F,'Matriz de Obj. Estrat.'!$B18,'Quadro Geral'!$B:$B,"PE")</f>
        <v>0</v>
      </c>
      <c r="F18" s="58">
        <f>SUMIFS('Quadro Geral'!$L:$L,'Quadro Geral'!$F:$F,'Matriz de Obj. Estrat.'!$B18,'Quadro Geral'!$B:$B,"PE")</f>
        <v>0</v>
      </c>
      <c r="G18" s="57">
        <f>COUNTIFS('Quadro Geral'!$F:$F,'Matriz de Obj. Estrat.'!$B18,'Quadro Geral'!$B:$B,"A")</f>
        <v>0</v>
      </c>
      <c r="H18" s="58">
        <f>SUMIFS('Quadro Geral'!$L:$L,'Quadro Geral'!$F:$F,'Matriz de Obj. Estrat.'!$B18,'Quadro Geral'!$B:$B,"A")</f>
        <v>0</v>
      </c>
      <c r="I18" s="57">
        <f t="shared" si="1"/>
        <v>3</v>
      </c>
      <c r="J18" s="58">
        <f t="shared" si="2"/>
        <v>5440000</v>
      </c>
      <c r="K18" s="59">
        <f t="shared" si="0"/>
        <v>44.848790772599386</v>
      </c>
      <c r="L18" s="34"/>
    </row>
    <row r="19" spans="1:12" x14ac:dyDescent="0.25">
      <c r="A19" s="279" t="s">
        <v>6</v>
      </c>
      <c r="B19" s="279"/>
      <c r="C19" s="60">
        <f>SUM(C3:C18)</f>
        <v>8</v>
      </c>
      <c r="D19" s="61">
        <f t="shared" ref="D19:J19" si="3">SUM(D3:D18)</f>
        <v>6096600</v>
      </c>
      <c r="E19" s="60">
        <f t="shared" si="3"/>
        <v>0</v>
      </c>
      <c r="F19" s="61">
        <f t="shared" si="3"/>
        <v>0</v>
      </c>
      <c r="G19" s="60">
        <f t="shared" si="3"/>
        <v>22</v>
      </c>
      <c r="H19" s="61">
        <f t="shared" si="3"/>
        <v>6033046.9900000002</v>
      </c>
      <c r="I19" s="60">
        <f t="shared" si="3"/>
        <v>30</v>
      </c>
      <c r="J19" s="61">
        <f t="shared" si="3"/>
        <v>12129646.99</v>
      </c>
      <c r="K19" s="62">
        <f>SUM(K3:K18)</f>
        <v>100</v>
      </c>
      <c r="L19" s="45"/>
    </row>
    <row r="20" spans="1:12" x14ac:dyDescent="0.25">
      <c r="A20" s="43"/>
      <c r="B20" s="34"/>
      <c r="C20" s="30"/>
      <c r="D20" s="31"/>
      <c r="E20" s="32"/>
      <c r="F20" s="31"/>
      <c r="G20" s="32"/>
      <c r="H20" s="31"/>
      <c r="I20" s="32"/>
      <c r="J20" s="33">
        <f>'Quadro Geral'!L37</f>
        <v>12129646.989999998</v>
      </c>
      <c r="K20" s="34"/>
      <c r="L20" s="34"/>
    </row>
    <row r="21" spans="1:12" x14ac:dyDescent="0.25">
      <c r="A21" s="43"/>
      <c r="B21" s="34"/>
      <c r="C21" s="30"/>
      <c r="D21" s="35"/>
      <c r="E21" s="30"/>
      <c r="F21" s="35"/>
      <c r="G21" s="30"/>
      <c r="H21" s="35"/>
      <c r="I21" s="30"/>
      <c r="J21" s="36" t="b">
        <f>J20=J19</f>
        <v>1</v>
      </c>
      <c r="K21" s="37">
        <f>IFERROR(SUMIF($B$3:$B$18,$M$3,$J$3:$J$18),)+IFERROR(SUMIF($B$3:$B$18,$M$4,$J$3:$J$18),)+IFERROR(SUMIF($B$3:$B$18,$M$5,$J$3:$J$18),)</f>
        <v>700222.3</v>
      </c>
      <c r="L21" s="34"/>
    </row>
  </sheetData>
  <sheetProtection selectLockedCells="1"/>
  <mergeCells count="11">
    <mergeCell ref="A16:A18"/>
    <mergeCell ref="A19:B19"/>
    <mergeCell ref="E1:F1"/>
    <mergeCell ref="A1:A2"/>
    <mergeCell ref="B1:B2"/>
    <mergeCell ref="C1:D1"/>
    <mergeCell ref="G1:H1"/>
    <mergeCell ref="I1:J1"/>
    <mergeCell ref="K1:K2"/>
    <mergeCell ref="A3:A4"/>
    <mergeCell ref="A5:A15"/>
  </mergeCells>
  <conditionalFormatting sqref="C2:I2">
    <cfRule type="cellIs" dxfId="22" priority="11" operator="equal">
      <formula>"S"</formula>
    </cfRule>
    <cfRule type="cellIs" dxfId="21" priority="12" operator="equal">
      <formula>"P"</formula>
    </cfRule>
    <cfRule type="cellIs" dxfId="20" priority="13" operator="equal">
      <formula>"x"</formula>
    </cfRule>
  </conditionalFormatting>
  <conditionalFormatting sqref="J21">
    <cfRule type="cellIs" dxfId="19" priority="9" operator="equal">
      <formula>TRUE</formula>
    </cfRule>
    <cfRule type="cellIs" dxfId="18" priority="10" operator="equal">
      <formula>FALSE</formula>
    </cfRule>
  </conditionalFormatting>
  <pageMargins left="0.511811024" right="0.511811024" top="0.78740157499999996" bottom="0.78740157499999996" header="0.31496062000000002" footer="0.31496062000000002"/>
  <pageSetup scale="3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'Validação de dados'!$D$1:$D$13</xm:f>
          </x14:formula1>
          <xm:sqref>M3:M5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U5"/>
  <sheetViews>
    <sheetView showGridLines="0" zoomScale="80" zoomScaleNormal="80" zoomScaleSheetLayoutView="90" workbookViewId="0">
      <selection sqref="A1:K1"/>
    </sheetView>
  </sheetViews>
  <sheetFormatPr defaultColWidth="0" defaultRowHeight="15.75" zeroHeight="1" x14ac:dyDescent="0.25"/>
  <cols>
    <col min="1" max="11" width="9.140625" style="1" customWidth="1"/>
    <col min="12" max="15" width="9.140625" style="68" hidden="1" customWidth="1"/>
    <col min="16" max="16384" width="9.140625" style="68" hidden="1"/>
  </cols>
  <sheetData>
    <row r="1" spans="1:21" ht="23.25" customHeight="1" x14ac:dyDescent="0.25">
      <c r="A1" s="281" t="s">
        <v>34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</row>
    <row r="2" spans="1:21" ht="379.5" customHeight="1" x14ac:dyDescent="0.25">
      <c r="A2" s="283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69"/>
      <c r="M2" s="70"/>
      <c r="N2" s="70"/>
      <c r="O2" s="70"/>
      <c r="P2" s="70"/>
      <c r="Q2" s="70"/>
      <c r="R2" s="70"/>
      <c r="S2" s="70"/>
      <c r="T2" s="70"/>
      <c r="U2" s="70"/>
    </row>
    <row r="3" spans="1:21" x14ac:dyDescent="0.25">
      <c r="A3" s="281" t="s">
        <v>135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71"/>
      <c r="M3" s="71"/>
      <c r="N3" s="71"/>
      <c r="O3" s="71"/>
      <c r="P3" s="71"/>
    </row>
    <row r="4" spans="1:21" ht="300" customHeight="1" x14ac:dyDescent="0.25"/>
    <row r="5" spans="1:21" x14ac:dyDescent="0.25"/>
  </sheetData>
  <mergeCells count="3">
    <mergeCell ref="A3:K3"/>
    <mergeCell ref="A1:K1"/>
    <mergeCell ref="A2:K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40961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9525</xdr:rowOff>
              </from>
              <to>
                <xdr:col>10</xdr:col>
                <xdr:colOff>581025</xdr:colOff>
                <xdr:row>1</xdr:row>
                <xdr:rowOff>4791075</xdr:rowOff>
              </to>
            </anchor>
          </objectPr>
        </oleObject>
      </mc:Choice>
      <mc:Fallback>
        <oleObject progId="PowerPoint.Slide.12" shapeId="4096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132"/>
  <sheetViews>
    <sheetView showGridLines="0" zoomScale="70" zoomScaleNormal="70" zoomScaleSheetLayoutView="50" workbookViewId="0">
      <selection sqref="A1:F1"/>
    </sheetView>
  </sheetViews>
  <sheetFormatPr defaultColWidth="0" defaultRowHeight="15.75" zeroHeight="1" x14ac:dyDescent="0.25"/>
  <cols>
    <col min="1" max="1" width="60.7109375" style="87" customWidth="1"/>
    <col min="2" max="2" width="81" style="88" customWidth="1"/>
    <col min="3" max="3" width="11.5703125" style="72" customWidth="1"/>
    <col min="4" max="4" width="16.42578125" style="88" customWidth="1"/>
    <col min="5" max="5" width="17" style="88" customWidth="1"/>
    <col min="6" max="6" width="17" style="10" customWidth="1"/>
    <col min="7" max="8" width="0" style="72" hidden="1" customWidth="1"/>
    <col min="9" max="16384" width="9.140625" style="72" hidden="1"/>
  </cols>
  <sheetData>
    <row r="1" spans="1:6" ht="45" customHeight="1" x14ac:dyDescent="0.25">
      <c r="A1" s="285" t="s">
        <v>436</v>
      </c>
      <c r="B1" s="285"/>
      <c r="C1" s="285"/>
      <c r="D1" s="285"/>
      <c r="E1" s="285"/>
      <c r="F1" s="285"/>
    </row>
    <row r="2" spans="1:6" ht="45" customHeight="1" x14ac:dyDescent="0.25">
      <c r="A2" s="285" t="s">
        <v>32</v>
      </c>
      <c r="B2" s="285"/>
      <c r="C2" s="285"/>
      <c r="D2" s="285"/>
      <c r="E2" s="285"/>
      <c r="F2" s="285"/>
    </row>
    <row r="3" spans="1:6" ht="21" customHeight="1" x14ac:dyDescent="0.25">
      <c r="A3" s="73"/>
      <c r="B3" s="73"/>
      <c r="C3" s="73"/>
      <c r="D3" s="73"/>
      <c r="E3" s="73"/>
    </row>
    <row r="4" spans="1:6" ht="45" hidden="1" customHeight="1" x14ac:dyDescent="0.25">
      <c r="A4" s="314" t="s">
        <v>56</v>
      </c>
      <c r="B4" s="314"/>
      <c r="C4" s="314"/>
      <c r="D4" s="314"/>
      <c r="E4" s="314"/>
      <c r="F4" s="314"/>
    </row>
    <row r="5" spans="1:6" ht="45" hidden="1" customHeight="1" x14ac:dyDescent="0.25">
      <c r="A5" s="91" t="s">
        <v>18</v>
      </c>
      <c r="B5" s="287" t="s">
        <v>53</v>
      </c>
      <c r="C5" s="287"/>
      <c r="D5" s="93" t="s">
        <v>54</v>
      </c>
      <c r="E5" s="92" t="s">
        <v>389</v>
      </c>
      <c r="F5" s="92" t="s">
        <v>388</v>
      </c>
    </row>
    <row r="6" spans="1:6" ht="30.75" hidden="1" customHeight="1" x14ac:dyDescent="0.25">
      <c r="A6" s="288" t="s">
        <v>224</v>
      </c>
      <c r="B6" s="74" t="s">
        <v>155</v>
      </c>
      <c r="C6" s="290" t="s">
        <v>76</v>
      </c>
      <c r="D6" s="290" t="s">
        <v>71</v>
      </c>
      <c r="E6" s="286"/>
      <c r="F6" s="294"/>
    </row>
    <row r="7" spans="1:6" ht="30.75" hidden="1" customHeight="1" x14ac:dyDescent="0.25">
      <c r="A7" s="288"/>
      <c r="B7" s="75" t="s">
        <v>156</v>
      </c>
      <c r="C7" s="290"/>
      <c r="D7" s="290"/>
      <c r="E7" s="286"/>
      <c r="F7" s="294"/>
    </row>
    <row r="8" spans="1:6" ht="24" hidden="1" customHeight="1" x14ac:dyDescent="0.25">
      <c r="A8" s="76"/>
      <c r="B8" s="73"/>
      <c r="C8" s="73"/>
      <c r="D8" s="73"/>
      <c r="E8" s="73"/>
    </row>
    <row r="9" spans="1:6" ht="45" customHeight="1" x14ac:dyDescent="0.25">
      <c r="A9" s="314" t="s">
        <v>55</v>
      </c>
      <c r="B9" s="314"/>
      <c r="C9" s="314"/>
      <c r="D9" s="314"/>
      <c r="E9" s="314"/>
      <c r="F9" s="314"/>
    </row>
    <row r="10" spans="1:6" ht="45" customHeight="1" x14ac:dyDescent="0.25">
      <c r="A10" s="91" t="s">
        <v>19</v>
      </c>
      <c r="B10" s="287" t="s">
        <v>53</v>
      </c>
      <c r="C10" s="287"/>
      <c r="D10" s="92" t="s">
        <v>54</v>
      </c>
      <c r="E10" s="92" t="str">
        <f>$E$5</f>
        <v>Meta
Programação</v>
      </c>
      <c r="F10" s="92" t="str">
        <f>$F$5</f>
        <v>Meta
Reprogramação</v>
      </c>
    </row>
    <row r="11" spans="1:6" ht="34.5" customHeight="1" x14ac:dyDescent="0.25">
      <c r="A11" s="288" t="s">
        <v>225</v>
      </c>
      <c r="B11" s="74" t="s">
        <v>157</v>
      </c>
      <c r="C11" s="290" t="s">
        <v>76</v>
      </c>
      <c r="D11" s="290" t="s">
        <v>158</v>
      </c>
      <c r="E11" s="286">
        <v>0.5</v>
      </c>
      <c r="F11" s="286">
        <v>0.5</v>
      </c>
    </row>
    <row r="12" spans="1:6" ht="34.5" customHeight="1" x14ac:dyDescent="0.25">
      <c r="A12" s="288"/>
      <c r="B12" s="75" t="s">
        <v>159</v>
      </c>
      <c r="C12" s="290"/>
      <c r="D12" s="290"/>
      <c r="E12" s="286"/>
      <c r="F12" s="286"/>
    </row>
    <row r="13" spans="1:6" ht="34.5" hidden="1" customHeight="1" x14ac:dyDescent="0.25">
      <c r="A13" s="288" t="s">
        <v>226</v>
      </c>
      <c r="B13" s="74" t="s">
        <v>160</v>
      </c>
      <c r="C13" s="290" t="s">
        <v>76</v>
      </c>
      <c r="D13" s="290" t="s">
        <v>158</v>
      </c>
      <c r="E13" s="286"/>
      <c r="F13" s="286"/>
    </row>
    <row r="14" spans="1:6" ht="34.5" hidden="1" customHeight="1" x14ac:dyDescent="0.25">
      <c r="A14" s="288"/>
      <c r="B14" s="75" t="s">
        <v>161</v>
      </c>
      <c r="C14" s="290"/>
      <c r="D14" s="290"/>
      <c r="E14" s="286"/>
      <c r="F14" s="286"/>
    </row>
    <row r="15" spans="1:6" ht="34.5" customHeight="1" x14ac:dyDescent="0.25">
      <c r="A15" s="288" t="s">
        <v>227</v>
      </c>
      <c r="B15" s="291" t="s">
        <v>162</v>
      </c>
      <c r="C15" s="291"/>
      <c r="D15" s="290" t="s">
        <v>158</v>
      </c>
      <c r="E15" s="315">
        <v>0.25</v>
      </c>
      <c r="F15" s="315">
        <v>0.27</v>
      </c>
    </row>
    <row r="16" spans="1:6" ht="34.5" customHeight="1" x14ac:dyDescent="0.25">
      <c r="A16" s="288"/>
      <c r="B16" s="293" t="s">
        <v>163</v>
      </c>
      <c r="C16" s="293"/>
      <c r="D16" s="290"/>
      <c r="E16" s="315"/>
      <c r="F16" s="315"/>
    </row>
    <row r="17" spans="1:6" ht="34.5" customHeight="1" x14ac:dyDescent="0.25">
      <c r="A17" s="288" t="s">
        <v>228</v>
      </c>
      <c r="B17" s="74" t="s">
        <v>164</v>
      </c>
      <c r="C17" s="290" t="s">
        <v>76</v>
      </c>
      <c r="D17" s="290" t="s">
        <v>158</v>
      </c>
      <c r="E17" s="286">
        <v>0.7</v>
      </c>
      <c r="F17" s="286">
        <v>0.7</v>
      </c>
    </row>
    <row r="18" spans="1:6" ht="34.5" customHeight="1" x14ac:dyDescent="0.25">
      <c r="A18" s="288"/>
      <c r="B18" s="75" t="s">
        <v>165</v>
      </c>
      <c r="C18" s="290"/>
      <c r="D18" s="290"/>
      <c r="E18" s="286"/>
      <c r="F18" s="286"/>
    </row>
    <row r="19" spans="1:6" ht="34.5" customHeight="1" x14ac:dyDescent="0.25">
      <c r="A19" s="288" t="s">
        <v>229</v>
      </c>
      <c r="B19" s="74" t="s">
        <v>166</v>
      </c>
      <c r="C19" s="290" t="s">
        <v>76</v>
      </c>
      <c r="D19" s="290" t="s">
        <v>78</v>
      </c>
      <c r="E19" s="286">
        <v>0.22</v>
      </c>
      <c r="F19" s="286">
        <v>0.22</v>
      </c>
    </row>
    <row r="20" spans="1:6" ht="34.5" customHeight="1" x14ac:dyDescent="0.25">
      <c r="A20" s="288"/>
      <c r="B20" s="75" t="s">
        <v>167</v>
      </c>
      <c r="C20" s="290"/>
      <c r="D20" s="290"/>
      <c r="E20" s="286"/>
      <c r="F20" s="286"/>
    </row>
    <row r="21" spans="1:6" ht="34.5" customHeight="1" x14ac:dyDescent="0.25">
      <c r="A21" s="288" t="s">
        <v>230</v>
      </c>
      <c r="B21" s="74" t="s">
        <v>168</v>
      </c>
      <c r="C21" s="290" t="s">
        <v>76</v>
      </c>
      <c r="D21" s="290" t="s">
        <v>78</v>
      </c>
      <c r="E21" s="286">
        <v>0.5</v>
      </c>
      <c r="F21" s="286">
        <v>0.5</v>
      </c>
    </row>
    <row r="22" spans="1:6" ht="34.5" customHeight="1" x14ac:dyDescent="0.25">
      <c r="A22" s="288"/>
      <c r="B22" s="75" t="s">
        <v>169</v>
      </c>
      <c r="C22" s="290"/>
      <c r="D22" s="290"/>
      <c r="E22" s="286"/>
      <c r="F22" s="286"/>
    </row>
    <row r="23" spans="1:6" ht="34.5" customHeight="1" x14ac:dyDescent="0.25">
      <c r="A23" s="288" t="s">
        <v>231</v>
      </c>
      <c r="B23" s="74" t="s">
        <v>170</v>
      </c>
      <c r="C23" s="290" t="s">
        <v>76</v>
      </c>
      <c r="D23" s="290" t="s">
        <v>77</v>
      </c>
      <c r="E23" s="286">
        <v>0.2</v>
      </c>
      <c r="F23" s="286">
        <v>0.2</v>
      </c>
    </row>
    <row r="24" spans="1:6" ht="34.5" customHeight="1" x14ac:dyDescent="0.25">
      <c r="A24" s="288"/>
      <c r="B24" s="75" t="s">
        <v>171</v>
      </c>
      <c r="C24" s="290"/>
      <c r="D24" s="290"/>
      <c r="E24" s="286"/>
      <c r="F24" s="286"/>
    </row>
    <row r="25" spans="1:6" ht="34.5" customHeight="1" x14ac:dyDescent="0.25">
      <c r="A25" s="288" t="s">
        <v>232</v>
      </c>
      <c r="B25" s="74" t="s">
        <v>172</v>
      </c>
      <c r="C25" s="290" t="s">
        <v>76</v>
      </c>
      <c r="D25" s="290" t="s">
        <v>77</v>
      </c>
      <c r="E25" s="286">
        <v>0.35</v>
      </c>
      <c r="F25" s="286">
        <v>0.35</v>
      </c>
    </row>
    <row r="26" spans="1:6" ht="34.5" customHeight="1" x14ac:dyDescent="0.25">
      <c r="A26" s="288"/>
      <c r="B26" s="75" t="s">
        <v>160</v>
      </c>
      <c r="C26" s="290"/>
      <c r="D26" s="290"/>
      <c r="E26" s="286"/>
      <c r="F26" s="286"/>
    </row>
    <row r="27" spans="1:6" ht="34.5" customHeight="1" x14ac:dyDescent="0.25">
      <c r="A27" s="288" t="s">
        <v>233</v>
      </c>
      <c r="B27" s="74" t="s">
        <v>173</v>
      </c>
      <c r="C27" s="290" t="s">
        <v>76</v>
      </c>
      <c r="D27" s="290" t="s">
        <v>77</v>
      </c>
      <c r="E27" s="286">
        <v>0.38</v>
      </c>
      <c r="F27" s="286">
        <v>0.38</v>
      </c>
    </row>
    <row r="28" spans="1:6" ht="34.5" customHeight="1" x14ac:dyDescent="0.25">
      <c r="A28" s="288"/>
      <c r="B28" s="75" t="s">
        <v>161</v>
      </c>
      <c r="C28" s="290"/>
      <c r="D28" s="290"/>
      <c r="E28" s="286"/>
      <c r="F28" s="286"/>
    </row>
    <row r="29" spans="1:6" ht="34.5" hidden="1" customHeight="1" x14ac:dyDescent="0.25">
      <c r="A29" s="288" t="s">
        <v>234</v>
      </c>
      <c r="B29" s="74" t="s">
        <v>174</v>
      </c>
      <c r="C29" s="290" t="s">
        <v>76</v>
      </c>
      <c r="D29" s="290" t="s">
        <v>77</v>
      </c>
      <c r="E29" s="294"/>
      <c r="F29" s="294"/>
    </row>
    <row r="30" spans="1:6" ht="34.5" hidden="1" customHeight="1" x14ac:dyDescent="0.25">
      <c r="A30" s="288"/>
      <c r="B30" s="75" t="s">
        <v>175</v>
      </c>
      <c r="C30" s="290"/>
      <c r="D30" s="290"/>
      <c r="E30" s="294"/>
      <c r="F30" s="294"/>
    </row>
    <row r="31" spans="1:6" ht="45" customHeight="1" x14ac:dyDescent="0.25">
      <c r="A31" s="91" t="s">
        <v>20</v>
      </c>
      <c r="B31" s="287" t="s">
        <v>53</v>
      </c>
      <c r="C31" s="287"/>
      <c r="D31" s="92" t="s">
        <v>54</v>
      </c>
      <c r="E31" s="92" t="s">
        <v>389</v>
      </c>
      <c r="F31" s="92" t="s">
        <v>388</v>
      </c>
    </row>
    <row r="32" spans="1:6" ht="34.5" customHeight="1" x14ac:dyDescent="0.25">
      <c r="A32" s="288" t="s">
        <v>235</v>
      </c>
      <c r="B32" s="74" t="s">
        <v>220</v>
      </c>
      <c r="C32" s="290" t="s">
        <v>76</v>
      </c>
      <c r="D32" s="290" t="s">
        <v>72</v>
      </c>
      <c r="E32" s="286">
        <v>0.9</v>
      </c>
      <c r="F32" s="286">
        <v>0.9</v>
      </c>
    </row>
    <row r="33" spans="1:6" ht="34.5" customHeight="1" x14ac:dyDescent="0.25">
      <c r="A33" s="288"/>
      <c r="B33" s="75" t="s">
        <v>221</v>
      </c>
      <c r="C33" s="290"/>
      <c r="D33" s="290"/>
      <c r="E33" s="286"/>
      <c r="F33" s="286"/>
    </row>
    <row r="34" spans="1:6" ht="34.5" customHeight="1" x14ac:dyDescent="0.25">
      <c r="A34" s="288" t="s">
        <v>236</v>
      </c>
      <c r="B34" s="74" t="s">
        <v>79</v>
      </c>
      <c r="C34" s="290" t="s">
        <v>76</v>
      </c>
      <c r="D34" s="290" t="s">
        <v>72</v>
      </c>
      <c r="E34" s="286">
        <v>0.9</v>
      </c>
      <c r="F34" s="286">
        <v>0.9</v>
      </c>
    </row>
    <row r="35" spans="1:6" ht="34.5" customHeight="1" x14ac:dyDescent="0.25">
      <c r="A35" s="288"/>
      <c r="B35" s="75" t="s">
        <v>80</v>
      </c>
      <c r="C35" s="290"/>
      <c r="D35" s="290"/>
      <c r="E35" s="286"/>
      <c r="F35" s="286"/>
    </row>
    <row r="36" spans="1:6" ht="34.5" customHeight="1" x14ac:dyDescent="0.25">
      <c r="A36" s="288" t="s">
        <v>237</v>
      </c>
      <c r="B36" s="74" t="s">
        <v>176</v>
      </c>
      <c r="C36" s="290" t="s">
        <v>76</v>
      </c>
      <c r="D36" s="290" t="s">
        <v>72</v>
      </c>
      <c r="E36" s="286">
        <v>0.8</v>
      </c>
      <c r="F36" s="286">
        <v>0.8</v>
      </c>
    </row>
    <row r="37" spans="1:6" ht="34.5" customHeight="1" x14ac:dyDescent="0.25">
      <c r="A37" s="288"/>
      <c r="B37" s="75" t="s">
        <v>177</v>
      </c>
      <c r="C37" s="290"/>
      <c r="D37" s="290"/>
      <c r="E37" s="286"/>
      <c r="F37" s="286"/>
    </row>
    <row r="38" spans="1:6" ht="45" customHeight="1" x14ac:dyDescent="0.25">
      <c r="A38" s="91" t="s">
        <v>21</v>
      </c>
      <c r="B38" s="287" t="s">
        <v>53</v>
      </c>
      <c r="C38" s="287"/>
      <c r="D38" s="92" t="s">
        <v>54</v>
      </c>
      <c r="E38" s="92" t="s">
        <v>389</v>
      </c>
      <c r="F38" s="92" t="s">
        <v>388</v>
      </c>
    </row>
    <row r="39" spans="1:6" ht="34.5" customHeight="1" x14ac:dyDescent="0.25">
      <c r="A39" s="288" t="s">
        <v>238</v>
      </c>
      <c r="B39" s="74" t="s">
        <v>178</v>
      </c>
      <c r="C39" s="290" t="s">
        <v>76</v>
      </c>
      <c r="D39" s="289" t="s">
        <v>179</v>
      </c>
      <c r="E39" s="286">
        <v>1</v>
      </c>
      <c r="F39" s="286">
        <v>1</v>
      </c>
    </row>
    <row r="40" spans="1:6" ht="34.5" customHeight="1" x14ac:dyDescent="0.25">
      <c r="A40" s="288"/>
      <c r="B40" s="75" t="s">
        <v>180</v>
      </c>
      <c r="C40" s="290"/>
      <c r="D40" s="289"/>
      <c r="E40" s="286"/>
      <c r="F40" s="286"/>
    </row>
    <row r="41" spans="1:6" ht="34.5" hidden="1" customHeight="1" x14ac:dyDescent="0.25">
      <c r="A41" s="288" t="s">
        <v>239</v>
      </c>
      <c r="B41" s="74" t="s">
        <v>181</v>
      </c>
      <c r="C41" s="290" t="s">
        <v>76</v>
      </c>
      <c r="D41" s="289" t="s">
        <v>78</v>
      </c>
      <c r="E41" s="286"/>
      <c r="F41" s="294"/>
    </row>
    <row r="42" spans="1:6" ht="34.5" hidden="1" customHeight="1" x14ac:dyDescent="0.25">
      <c r="A42" s="288"/>
      <c r="B42" s="75" t="s">
        <v>182</v>
      </c>
      <c r="C42" s="290"/>
      <c r="D42" s="289"/>
      <c r="E42" s="286"/>
      <c r="F42" s="294"/>
    </row>
    <row r="43" spans="1:6" ht="34.5" hidden="1" customHeight="1" x14ac:dyDescent="0.25">
      <c r="A43" s="288" t="s">
        <v>240</v>
      </c>
      <c r="B43" s="291" t="s">
        <v>183</v>
      </c>
      <c r="C43" s="291"/>
      <c r="D43" s="289" t="s">
        <v>78</v>
      </c>
      <c r="E43" s="307"/>
      <c r="F43" s="306"/>
    </row>
    <row r="44" spans="1:6" ht="34.5" hidden="1" customHeight="1" x14ac:dyDescent="0.25">
      <c r="A44" s="288"/>
      <c r="B44" s="293" t="s">
        <v>184</v>
      </c>
      <c r="C44" s="293"/>
      <c r="D44" s="289"/>
      <c r="E44" s="307"/>
      <c r="F44" s="306"/>
    </row>
    <row r="45" spans="1:6" ht="34.5" hidden="1" customHeight="1" x14ac:dyDescent="0.25">
      <c r="A45" s="288" t="s">
        <v>241</v>
      </c>
      <c r="B45" s="74" t="s">
        <v>185</v>
      </c>
      <c r="C45" s="290" t="s">
        <v>76</v>
      </c>
      <c r="D45" s="289" t="s">
        <v>78</v>
      </c>
      <c r="E45" s="286"/>
      <c r="F45" s="294"/>
    </row>
    <row r="46" spans="1:6" ht="34.5" hidden="1" customHeight="1" x14ac:dyDescent="0.25">
      <c r="A46" s="288"/>
      <c r="B46" s="75" t="s">
        <v>186</v>
      </c>
      <c r="C46" s="290"/>
      <c r="D46" s="289"/>
      <c r="E46" s="286"/>
      <c r="F46" s="294"/>
    </row>
    <row r="47" spans="1:6" ht="45" hidden="1" customHeight="1" x14ac:dyDescent="0.25">
      <c r="A47" s="91" t="s">
        <v>22</v>
      </c>
      <c r="B47" s="287" t="s">
        <v>53</v>
      </c>
      <c r="C47" s="287"/>
      <c r="D47" s="92" t="s">
        <v>54</v>
      </c>
      <c r="E47" s="92" t="s">
        <v>389</v>
      </c>
      <c r="F47" s="92" t="s">
        <v>388</v>
      </c>
    </row>
    <row r="48" spans="1:6" ht="53.25" hidden="1" customHeight="1" x14ac:dyDescent="0.25">
      <c r="A48" s="77" t="s">
        <v>242</v>
      </c>
      <c r="B48" s="305" t="s">
        <v>187</v>
      </c>
      <c r="C48" s="305"/>
      <c r="D48" s="78" t="s">
        <v>71</v>
      </c>
      <c r="E48" s="79"/>
      <c r="F48" s="80"/>
    </row>
    <row r="49" spans="1:6" ht="45" customHeight="1" x14ac:dyDescent="0.25">
      <c r="A49" s="91" t="s">
        <v>23</v>
      </c>
      <c r="B49" s="287" t="s">
        <v>53</v>
      </c>
      <c r="C49" s="287"/>
      <c r="D49" s="92" t="s">
        <v>54</v>
      </c>
      <c r="E49" s="92" t="s">
        <v>389</v>
      </c>
      <c r="F49" s="92" t="s">
        <v>388</v>
      </c>
    </row>
    <row r="50" spans="1:6" ht="34.5" hidden="1" customHeight="1" x14ac:dyDescent="0.25">
      <c r="A50" s="288" t="s">
        <v>243</v>
      </c>
      <c r="B50" s="74" t="s">
        <v>188</v>
      </c>
      <c r="C50" s="290" t="s">
        <v>76</v>
      </c>
      <c r="D50" s="290" t="s">
        <v>71</v>
      </c>
      <c r="E50" s="286"/>
      <c r="F50" s="294"/>
    </row>
    <row r="51" spans="1:6" ht="34.5" hidden="1" customHeight="1" x14ac:dyDescent="0.25">
      <c r="A51" s="288"/>
      <c r="B51" s="75" t="s">
        <v>156</v>
      </c>
      <c r="C51" s="290"/>
      <c r="D51" s="290"/>
      <c r="E51" s="286"/>
      <c r="F51" s="294"/>
    </row>
    <row r="52" spans="1:6" ht="34.5" customHeight="1" x14ac:dyDescent="0.25">
      <c r="A52" s="288" t="s">
        <v>244</v>
      </c>
      <c r="B52" s="74" t="s">
        <v>187</v>
      </c>
      <c r="C52" s="290" t="s">
        <v>76</v>
      </c>
      <c r="D52" s="290" t="s">
        <v>71</v>
      </c>
      <c r="E52" s="286">
        <v>0.01</v>
      </c>
      <c r="F52" s="286">
        <v>0.01</v>
      </c>
    </row>
    <row r="53" spans="1:6" ht="34.5" customHeight="1" x14ac:dyDescent="0.25">
      <c r="A53" s="288"/>
      <c r="B53" s="75" t="s">
        <v>156</v>
      </c>
      <c r="C53" s="290"/>
      <c r="D53" s="290"/>
      <c r="E53" s="286"/>
      <c r="F53" s="286"/>
    </row>
    <row r="54" spans="1:6" ht="45" customHeight="1" x14ac:dyDescent="0.25">
      <c r="A54" s="91" t="s">
        <v>24</v>
      </c>
      <c r="B54" s="287" t="s">
        <v>53</v>
      </c>
      <c r="C54" s="287"/>
      <c r="D54" s="92" t="s">
        <v>54</v>
      </c>
      <c r="E54" s="92" t="s">
        <v>389</v>
      </c>
      <c r="F54" s="92" t="s">
        <v>388</v>
      </c>
    </row>
    <row r="55" spans="1:6" ht="34.5" customHeight="1" x14ac:dyDescent="0.25">
      <c r="A55" s="81" t="s">
        <v>245</v>
      </c>
      <c r="B55" s="301" t="s">
        <v>189</v>
      </c>
      <c r="C55" s="302"/>
      <c r="D55" s="82" t="s">
        <v>158</v>
      </c>
      <c r="E55" s="83">
        <v>65000</v>
      </c>
      <c r="F55" s="83">
        <v>65000</v>
      </c>
    </row>
    <row r="56" spans="1:6" ht="34.5" hidden="1" customHeight="1" x14ac:dyDescent="0.25">
      <c r="A56" s="288" t="s">
        <v>246</v>
      </c>
      <c r="B56" s="74" t="s">
        <v>190</v>
      </c>
      <c r="C56" s="303" t="s">
        <v>76</v>
      </c>
      <c r="D56" s="290" t="s">
        <v>72</v>
      </c>
      <c r="E56" s="286"/>
      <c r="F56" s="286"/>
    </row>
    <row r="57" spans="1:6" ht="34.5" hidden="1" customHeight="1" x14ac:dyDescent="0.25">
      <c r="A57" s="288"/>
      <c r="B57" s="75" t="s">
        <v>81</v>
      </c>
      <c r="C57" s="304"/>
      <c r="D57" s="290"/>
      <c r="E57" s="286"/>
      <c r="F57" s="286"/>
    </row>
    <row r="58" spans="1:6" ht="34.5" hidden="1" customHeight="1" x14ac:dyDescent="0.25">
      <c r="A58" s="288" t="s">
        <v>247</v>
      </c>
      <c r="B58" s="74" t="s">
        <v>191</v>
      </c>
      <c r="C58" s="303" t="s">
        <v>76</v>
      </c>
      <c r="D58" s="290" t="s">
        <v>72</v>
      </c>
      <c r="E58" s="286"/>
      <c r="F58" s="286"/>
    </row>
    <row r="59" spans="1:6" ht="34.5" hidden="1" customHeight="1" x14ac:dyDescent="0.25">
      <c r="A59" s="288"/>
      <c r="B59" s="75" t="s">
        <v>82</v>
      </c>
      <c r="C59" s="304"/>
      <c r="D59" s="290"/>
      <c r="E59" s="286"/>
      <c r="F59" s="286"/>
    </row>
    <row r="60" spans="1:6" ht="34.5" customHeight="1" x14ac:dyDescent="0.25">
      <c r="A60" s="81" t="s">
        <v>192</v>
      </c>
      <c r="B60" s="301" t="s">
        <v>193</v>
      </c>
      <c r="C60" s="302"/>
      <c r="D60" s="82" t="s">
        <v>78</v>
      </c>
      <c r="E60" s="83">
        <v>170000</v>
      </c>
      <c r="F60" s="83">
        <v>170000</v>
      </c>
    </row>
    <row r="61" spans="1:6" ht="45" customHeight="1" x14ac:dyDescent="0.25">
      <c r="A61" s="91" t="s">
        <v>25</v>
      </c>
      <c r="B61" s="287" t="s">
        <v>53</v>
      </c>
      <c r="C61" s="287"/>
      <c r="D61" s="92" t="s">
        <v>54</v>
      </c>
      <c r="E61" s="92" t="s">
        <v>389</v>
      </c>
      <c r="F61" s="92" t="s">
        <v>388</v>
      </c>
    </row>
    <row r="62" spans="1:6" ht="34.5" customHeight="1" x14ac:dyDescent="0.25">
      <c r="A62" s="299" t="s">
        <v>248</v>
      </c>
      <c r="B62" s="85" t="s">
        <v>194</v>
      </c>
      <c r="C62" s="290" t="s">
        <v>76</v>
      </c>
      <c r="D62" s="290" t="s">
        <v>71</v>
      </c>
      <c r="E62" s="286">
        <v>0.5</v>
      </c>
      <c r="F62" s="286">
        <v>0.5</v>
      </c>
    </row>
    <row r="63" spans="1:6" ht="34.5" customHeight="1" x14ac:dyDescent="0.25">
      <c r="A63" s="299"/>
      <c r="B63" s="86" t="s">
        <v>195</v>
      </c>
      <c r="C63" s="290"/>
      <c r="D63" s="290"/>
      <c r="E63" s="286"/>
      <c r="F63" s="286"/>
    </row>
    <row r="64" spans="1:6" ht="34.5" customHeight="1" x14ac:dyDescent="0.25">
      <c r="A64" s="299" t="s">
        <v>249</v>
      </c>
      <c r="B64" s="85" t="s">
        <v>149</v>
      </c>
      <c r="C64" s="290" t="s">
        <v>76</v>
      </c>
      <c r="D64" s="290" t="s">
        <v>71</v>
      </c>
      <c r="E64" s="286">
        <v>0.5</v>
      </c>
      <c r="F64" s="286">
        <v>0.5</v>
      </c>
    </row>
    <row r="65" spans="1:6" ht="34.5" customHeight="1" x14ac:dyDescent="0.25">
      <c r="A65" s="299"/>
      <c r="B65" s="86" t="s">
        <v>196</v>
      </c>
      <c r="C65" s="290"/>
      <c r="D65" s="290"/>
      <c r="E65" s="286"/>
      <c r="F65" s="286"/>
    </row>
    <row r="66" spans="1:6" ht="34.5" customHeight="1" x14ac:dyDescent="0.25">
      <c r="A66" s="288" t="s">
        <v>250</v>
      </c>
      <c r="B66" s="291" t="s">
        <v>197</v>
      </c>
      <c r="C66" s="291"/>
      <c r="D66" s="290" t="s">
        <v>78</v>
      </c>
      <c r="E66" s="300">
        <v>6</v>
      </c>
      <c r="F66" s="300">
        <v>6</v>
      </c>
    </row>
    <row r="67" spans="1:6" ht="34.5" customHeight="1" x14ac:dyDescent="0.25">
      <c r="A67" s="288"/>
      <c r="B67" s="293" t="s">
        <v>198</v>
      </c>
      <c r="C67" s="293"/>
      <c r="D67" s="290"/>
      <c r="E67" s="300"/>
      <c r="F67" s="300"/>
    </row>
    <row r="68" spans="1:6" ht="45" customHeight="1" x14ac:dyDescent="0.25">
      <c r="A68" s="91" t="s">
        <v>26</v>
      </c>
      <c r="B68" s="287" t="s">
        <v>53</v>
      </c>
      <c r="C68" s="287"/>
      <c r="D68" s="92" t="s">
        <v>54</v>
      </c>
      <c r="E68" s="92" t="s">
        <v>389</v>
      </c>
      <c r="F68" s="92" t="s">
        <v>388</v>
      </c>
    </row>
    <row r="69" spans="1:6" ht="34.5" customHeight="1" x14ac:dyDescent="0.25">
      <c r="A69" s="288" t="s">
        <v>251</v>
      </c>
      <c r="B69" s="291" t="s">
        <v>222</v>
      </c>
      <c r="C69" s="291"/>
      <c r="D69" s="290" t="s">
        <v>72</v>
      </c>
      <c r="E69" s="292">
        <v>1.8</v>
      </c>
      <c r="F69" s="298">
        <v>1.96</v>
      </c>
    </row>
    <row r="70" spans="1:6" ht="34.5" customHeight="1" x14ac:dyDescent="0.25">
      <c r="A70" s="288"/>
      <c r="B70" s="293" t="s">
        <v>200</v>
      </c>
      <c r="C70" s="293"/>
      <c r="D70" s="290"/>
      <c r="E70" s="292"/>
      <c r="F70" s="298"/>
    </row>
    <row r="71" spans="1:6" ht="34.5" customHeight="1" x14ac:dyDescent="0.25">
      <c r="A71" s="288" t="s">
        <v>252</v>
      </c>
      <c r="B71" s="74" t="s">
        <v>144</v>
      </c>
      <c r="C71" s="290" t="s">
        <v>76</v>
      </c>
      <c r="D71" s="290" t="s">
        <v>72</v>
      </c>
      <c r="E71" s="286">
        <v>5.1799999999999999E-2</v>
      </c>
      <c r="F71" s="286">
        <v>5.1799999999999999E-2</v>
      </c>
    </row>
    <row r="72" spans="1:6" ht="34.5" customHeight="1" x14ac:dyDescent="0.25">
      <c r="A72" s="288"/>
      <c r="B72" s="75" t="s">
        <v>199</v>
      </c>
      <c r="C72" s="290"/>
      <c r="D72" s="290"/>
      <c r="E72" s="286"/>
      <c r="F72" s="286"/>
    </row>
    <row r="73" spans="1:6" ht="34.5" customHeight="1" x14ac:dyDescent="0.25">
      <c r="A73" s="288" t="s">
        <v>253</v>
      </c>
      <c r="B73" s="74" t="s">
        <v>201</v>
      </c>
      <c r="C73" s="290" t="s">
        <v>76</v>
      </c>
      <c r="D73" s="290" t="s">
        <v>72</v>
      </c>
      <c r="E73" s="286">
        <v>0.02</v>
      </c>
      <c r="F73" s="286">
        <v>0.02</v>
      </c>
    </row>
    <row r="74" spans="1:6" ht="34.5" customHeight="1" x14ac:dyDescent="0.25">
      <c r="A74" s="288"/>
      <c r="B74" s="75" t="s">
        <v>199</v>
      </c>
      <c r="C74" s="290"/>
      <c r="D74" s="290"/>
      <c r="E74" s="286"/>
      <c r="F74" s="286"/>
    </row>
    <row r="75" spans="1:6" ht="45" customHeight="1" x14ac:dyDescent="0.25">
      <c r="A75" s="91" t="s">
        <v>27</v>
      </c>
      <c r="B75" s="287" t="s">
        <v>53</v>
      </c>
      <c r="C75" s="287"/>
      <c r="D75" s="92" t="s">
        <v>54</v>
      </c>
      <c r="E75" s="92" t="s">
        <v>389</v>
      </c>
      <c r="F75" s="92" t="s">
        <v>388</v>
      </c>
    </row>
    <row r="76" spans="1:6" ht="34.5" customHeight="1" x14ac:dyDescent="0.25">
      <c r="A76" s="288" t="s">
        <v>254</v>
      </c>
      <c r="B76" s="291" t="s">
        <v>202</v>
      </c>
      <c r="C76" s="291"/>
      <c r="D76" s="290" t="s">
        <v>78</v>
      </c>
      <c r="E76" s="297">
        <v>754.57278639259528</v>
      </c>
      <c r="F76" s="297">
        <v>788.97</v>
      </c>
    </row>
    <row r="77" spans="1:6" ht="34.5" customHeight="1" x14ac:dyDescent="0.25">
      <c r="A77" s="288"/>
      <c r="B77" s="293" t="s">
        <v>84</v>
      </c>
      <c r="C77" s="293"/>
      <c r="D77" s="290"/>
      <c r="E77" s="297"/>
      <c r="F77" s="297"/>
    </row>
    <row r="78" spans="1:6" ht="34.5" customHeight="1" x14ac:dyDescent="0.25">
      <c r="A78" s="288" t="s">
        <v>255</v>
      </c>
      <c r="B78" s="74" t="s">
        <v>203</v>
      </c>
      <c r="C78" s="290" t="s">
        <v>76</v>
      </c>
      <c r="D78" s="290" t="s">
        <v>204</v>
      </c>
      <c r="E78" s="296">
        <v>0.4123</v>
      </c>
      <c r="F78" s="295">
        <v>0.38500000000000001</v>
      </c>
    </row>
    <row r="79" spans="1:6" ht="34.5" customHeight="1" x14ac:dyDescent="0.25">
      <c r="A79" s="288"/>
      <c r="B79" s="75" t="s">
        <v>202</v>
      </c>
      <c r="C79" s="290"/>
      <c r="D79" s="290"/>
      <c r="E79" s="296"/>
      <c r="F79" s="295"/>
    </row>
    <row r="80" spans="1:6" ht="34.5" customHeight="1" x14ac:dyDescent="0.25">
      <c r="A80" s="288" t="s">
        <v>256</v>
      </c>
      <c r="B80" s="291" t="s">
        <v>147</v>
      </c>
      <c r="C80" s="291"/>
      <c r="D80" s="290" t="s">
        <v>78</v>
      </c>
      <c r="E80" s="292">
        <v>55</v>
      </c>
      <c r="F80" s="292">
        <v>55</v>
      </c>
    </row>
    <row r="81" spans="1:6" ht="34.5" customHeight="1" x14ac:dyDescent="0.25">
      <c r="A81" s="288"/>
      <c r="B81" s="293" t="s">
        <v>83</v>
      </c>
      <c r="C81" s="293"/>
      <c r="D81" s="290"/>
      <c r="E81" s="292"/>
      <c r="F81" s="292"/>
    </row>
    <row r="82" spans="1:6" ht="34.5" customHeight="1" x14ac:dyDescent="0.25">
      <c r="A82" s="288" t="s">
        <v>257</v>
      </c>
      <c r="B82" s="74" t="s">
        <v>148</v>
      </c>
      <c r="C82" s="290" t="s">
        <v>76</v>
      </c>
      <c r="D82" s="290" t="s">
        <v>77</v>
      </c>
      <c r="E82" s="286">
        <v>0.317</v>
      </c>
      <c r="F82" s="286" t="s">
        <v>434</v>
      </c>
    </row>
    <row r="83" spans="1:6" ht="34.5" customHeight="1" x14ac:dyDescent="0.25">
      <c r="A83" s="288"/>
      <c r="B83" s="75" t="s">
        <v>223</v>
      </c>
      <c r="C83" s="290"/>
      <c r="D83" s="290"/>
      <c r="E83" s="286"/>
      <c r="F83" s="286"/>
    </row>
    <row r="84" spans="1:6" ht="34.5" customHeight="1" x14ac:dyDescent="0.25">
      <c r="A84" s="288" t="s">
        <v>258</v>
      </c>
      <c r="B84" s="74" t="s">
        <v>85</v>
      </c>
      <c r="C84" s="290" t="s">
        <v>76</v>
      </c>
      <c r="D84" s="290" t="s">
        <v>77</v>
      </c>
      <c r="E84" s="286">
        <v>0.60799999999999998</v>
      </c>
      <c r="F84" s="286" t="s">
        <v>435</v>
      </c>
    </row>
    <row r="85" spans="1:6" ht="34.5" customHeight="1" x14ac:dyDescent="0.25">
      <c r="A85" s="288"/>
      <c r="B85" s="75" t="s">
        <v>205</v>
      </c>
      <c r="C85" s="290"/>
      <c r="D85" s="290"/>
      <c r="E85" s="286"/>
      <c r="F85" s="286"/>
    </row>
    <row r="86" spans="1:6" ht="45" hidden="1" customHeight="1" x14ac:dyDescent="0.25">
      <c r="A86" s="91" t="s">
        <v>28</v>
      </c>
      <c r="B86" s="287" t="s">
        <v>53</v>
      </c>
      <c r="C86" s="287"/>
      <c r="D86" s="92" t="s">
        <v>54</v>
      </c>
      <c r="E86" s="92" t="s">
        <v>389</v>
      </c>
      <c r="F86" s="92" t="s">
        <v>388</v>
      </c>
    </row>
    <row r="87" spans="1:6" ht="34.5" hidden="1" customHeight="1" x14ac:dyDescent="0.25">
      <c r="A87" s="288" t="s">
        <v>259</v>
      </c>
      <c r="B87" s="74" t="s">
        <v>206</v>
      </c>
      <c r="C87" s="290" t="s">
        <v>76</v>
      </c>
      <c r="D87" s="290" t="s">
        <v>204</v>
      </c>
      <c r="E87" s="286"/>
      <c r="F87" s="294"/>
    </row>
    <row r="88" spans="1:6" ht="34.5" hidden="1" customHeight="1" x14ac:dyDescent="0.25">
      <c r="A88" s="288"/>
      <c r="B88" s="75" t="s">
        <v>207</v>
      </c>
      <c r="C88" s="290"/>
      <c r="D88" s="290"/>
      <c r="E88" s="286"/>
      <c r="F88" s="294"/>
    </row>
    <row r="89" spans="1:6" ht="34.5" hidden="1" customHeight="1" x14ac:dyDescent="0.25">
      <c r="A89" s="288" t="s">
        <v>260</v>
      </c>
      <c r="B89" s="74" t="s">
        <v>208</v>
      </c>
      <c r="C89" s="290" t="s">
        <v>76</v>
      </c>
      <c r="D89" s="290" t="s">
        <v>204</v>
      </c>
      <c r="E89" s="286"/>
      <c r="F89" s="294"/>
    </row>
    <row r="90" spans="1:6" ht="34.5" hidden="1" customHeight="1" x14ac:dyDescent="0.25">
      <c r="A90" s="288"/>
      <c r="B90" s="75" t="s">
        <v>209</v>
      </c>
      <c r="C90" s="290"/>
      <c r="D90" s="290"/>
      <c r="E90" s="286"/>
      <c r="F90" s="294"/>
    </row>
    <row r="91" spans="1:6" ht="34.5" hidden="1" customHeight="1" x14ac:dyDescent="0.25">
      <c r="A91" s="288" t="s">
        <v>261</v>
      </c>
      <c r="B91" s="74" t="s">
        <v>210</v>
      </c>
      <c r="C91" s="290" t="s">
        <v>76</v>
      </c>
      <c r="D91" s="290" t="s">
        <v>204</v>
      </c>
      <c r="E91" s="286"/>
      <c r="F91" s="294"/>
    </row>
    <row r="92" spans="1:6" ht="34.5" hidden="1" customHeight="1" x14ac:dyDescent="0.25">
      <c r="A92" s="288"/>
      <c r="B92" s="75" t="s">
        <v>209</v>
      </c>
      <c r="C92" s="290"/>
      <c r="D92" s="290"/>
      <c r="E92" s="286"/>
      <c r="F92" s="294"/>
    </row>
    <row r="93" spans="1:6" ht="45" customHeight="1" x14ac:dyDescent="0.25">
      <c r="A93" s="91" t="s">
        <v>29</v>
      </c>
      <c r="B93" s="287" t="s">
        <v>53</v>
      </c>
      <c r="C93" s="287"/>
      <c r="D93" s="92" t="s">
        <v>54</v>
      </c>
      <c r="E93" s="92" t="s">
        <v>389</v>
      </c>
      <c r="F93" s="92" t="s">
        <v>388</v>
      </c>
    </row>
    <row r="94" spans="1:6" ht="34.5" customHeight="1" x14ac:dyDescent="0.25">
      <c r="A94" s="288" t="s">
        <v>262</v>
      </c>
      <c r="B94" s="291" t="s">
        <v>86</v>
      </c>
      <c r="C94" s="291"/>
      <c r="D94" s="290" t="s">
        <v>71</v>
      </c>
      <c r="E94" s="292">
        <v>5</v>
      </c>
      <c r="F94" s="292">
        <v>5</v>
      </c>
    </row>
    <row r="95" spans="1:6" ht="34.5" customHeight="1" x14ac:dyDescent="0.25">
      <c r="A95" s="288"/>
      <c r="B95" s="293" t="s">
        <v>87</v>
      </c>
      <c r="C95" s="293"/>
      <c r="D95" s="290"/>
      <c r="E95" s="292"/>
      <c r="F95" s="292"/>
    </row>
    <row r="96" spans="1:6" ht="45" hidden="1" customHeight="1" x14ac:dyDescent="0.25">
      <c r="A96" s="91" t="s">
        <v>30</v>
      </c>
      <c r="B96" s="287" t="s">
        <v>53</v>
      </c>
      <c r="C96" s="287"/>
      <c r="D96" s="92" t="s">
        <v>54</v>
      </c>
      <c r="E96" s="92" t="s">
        <v>389</v>
      </c>
      <c r="F96" s="92" t="s">
        <v>388</v>
      </c>
    </row>
    <row r="97" spans="1:6" ht="34.5" hidden="1" customHeight="1" x14ac:dyDescent="0.25">
      <c r="A97" s="81" t="s">
        <v>211</v>
      </c>
      <c r="B97" s="290" t="s">
        <v>212</v>
      </c>
      <c r="C97" s="290"/>
      <c r="D97" s="82" t="s">
        <v>71</v>
      </c>
      <c r="E97" s="83"/>
      <c r="F97" s="84"/>
    </row>
    <row r="98" spans="1:6" ht="34.5" hidden="1" customHeight="1" x14ac:dyDescent="0.25">
      <c r="A98" s="288" t="s">
        <v>213</v>
      </c>
      <c r="B98" s="74" t="s">
        <v>263</v>
      </c>
      <c r="C98" s="289" t="s">
        <v>76</v>
      </c>
      <c r="D98" s="290" t="s">
        <v>78</v>
      </c>
      <c r="E98" s="286"/>
      <c r="F98" s="294"/>
    </row>
    <row r="99" spans="1:6" ht="34.5" hidden="1" customHeight="1" x14ac:dyDescent="0.25">
      <c r="A99" s="288"/>
      <c r="B99" s="75" t="s">
        <v>264</v>
      </c>
      <c r="C99" s="289"/>
      <c r="D99" s="290"/>
      <c r="E99" s="286"/>
      <c r="F99" s="294"/>
    </row>
    <row r="100" spans="1:6" ht="45" customHeight="1" x14ac:dyDescent="0.25">
      <c r="A100" s="91" t="s">
        <v>31</v>
      </c>
      <c r="B100" s="287" t="s">
        <v>53</v>
      </c>
      <c r="C100" s="287"/>
      <c r="D100" s="92" t="s">
        <v>54</v>
      </c>
      <c r="E100" s="92" t="s">
        <v>389</v>
      </c>
      <c r="F100" s="92" t="s">
        <v>388</v>
      </c>
    </row>
    <row r="101" spans="1:6" ht="34.5" customHeight="1" x14ac:dyDescent="0.25">
      <c r="A101" s="288" t="s">
        <v>265</v>
      </c>
      <c r="B101" s="74" t="s">
        <v>145</v>
      </c>
      <c r="C101" s="289" t="s">
        <v>76</v>
      </c>
      <c r="D101" s="290" t="s">
        <v>78</v>
      </c>
      <c r="E101" s="286">
        <v>0.7</v>
      </c>
      <c r="F101" s="286">
        <v>0.7</v>
      </c>
    </row>
    <row r="102" spans="1:6" ht="34.5" customHeight="1" x14ac:dyDescent="0.25">
      <c r="A102" s="288"/>
      <c r="B102" s="226" t="s">
        <v>88</v>
      </c>
      <c r="C102" s="289"/>
      <c r="D102" s="290"/>
      <c r="E102" s="286"/>
      <c r="F102" s="286"/>
    </row>
    <row r="103" spans="1:6" ht="34.5" customHeight="1" x14ac:dyDescent="0.25">
      <c r="A103" s="288" t="s">
        <v>266</v>
      </c>
      <c r="B103" s="74" t="s">
        <v>146</v>
      </c>
      <c r="C103" s="289" t="s">
        <v>76</v>
      </c>
      <c r="D103" s="290" t="s">
        <v>204</v>
      </c>
      <c r="E103" s="286">
        <v>0.7</v>
      </c>
      <c r="F103" s="286">
        <v>0.7</v>
      </c>
    </row>
    <row r="104" spans="1:6" ht="34.5" customHeight="1" x14ac:dyDescent="0.25">
      <c r="A104" s="288"/>
      <c r="B104" s="226" t="s">
        <v>89</v>
      </c>
      <c r="C104" s="289"/>
      <c r="D104" s="290"/>
      <c r="E104" s="286"/>
      <c r="F104" s="286"/>
    </row>
    <row r="105" spans="1:6" ht="21.75" hidden="1" customHeight="1" x14ac:dyDescent="0.25"/>
    <row r="106" spans="1:6" ht="15.75" hidden="1" customHeight="1" x14ac:dyDescent="0.25">
      <c r="A106" s="308" t="s">
        <v>218</v>
      </c>
      <c r="B106" s="309"/>
      <c r="C106" s="309"/>
      <c r="D106" s="309"/>
      <c r="E106" s="309"/>
      <c r="F106" s="310"/>
    </row>
    <row r="107" spans="1:6" ht="45" hidden="1" customHeight="1" x14ac:dyDescent="0.25">
      <c r="A107" s="311" t="s">
        <v>358</v>
      </c>
      <c r="B107" s="312"/>
      <c r="C107" s="312"/>
      <c r="D107" s="312"/>
      <c r="E107" s="312"/>
      <c r="F107" s="313"/>
    </row>
    <row r="109" spans="1:6" hidden="1" x14ac:dyDescent="0.25">
      <c r="A109" s="89" t="s">
        <v>267</v>
      </c>
    </row>
    <row r="110" spans="1:6" hidden="1" x14ac:dyDescent="0.25">
      <c r="A110" s="90"/>
    </row>
    <row r="111" spans="1:6" hidden="1" x14ac:dyDescent="0.25">
      <c r="A111" s="90"/>
    </row>
    <row r="112" spans="1:6" hidden="1" x14ac:dyDescent="0.25">
      <c r="A112" s="90"/>
    </row>
    <row r="113" spans="1:1" hidden="1" x14ac:dyDescent="0.25">
      <c r="A113" s="90"/>
    </row>
    <row r="114" spans="1:1" hidden="1" x14ac:dyDescent="0.25">
      <c r="A114" s="90"/>
    </row>
    <row r="115" spans="1:1" hidden="1" x14ac:dyDescent="0.25">
      <c r="A115" s="90"/>
    </row>
    <row r="116" spans="1:1" hidden="1" x14ac:dyDescent="0.25">
      <c r="A116" s="90"/>
    </row>
    <row r="117" spans="1:1" hidden="1" x14ac:dyDescent="0.25">
      <c r="A117" s="90"/>
    </row>
    <row r="118" spans="1:1" hidden="1" x14ac:dyDescent="0.25">
      <c r="A118" s="90"/>
    </row>
    <row r="119" spans="1:1" hidden="1" x14ac:dyDescent="0.25">
      <c r="A119" s="90"/>
    </row>
    <row r="120" spans="1:1" hidden="1" x14ac:dyDescent="0.25">
      <c r="A120" s="90"/>
    </row>
    <row r="121" spans="1:1" hidden="1" x14ac:dyDescent="0.25">
      <c r="A121" s="90"/>
    </row>
    <row r="122" spans="1:1" hidden="1" x14ac:dyDescent="0.25">
      <c r="A122" s="90"/>
    </row>
    <row r="123" spans="1:1" hidden="1" x14ac:dyDescent="0.25">
      <c r="A123" s="90"/>
    </row>
    <row r="124" spans="1:1" hidden="1" x14ac:dyDescent="0.25">
      <c r="A124" s="90"/>
    </row>
    <row r="125" spans="1:1" hidden="1" x14ac:dyDescent="0.25">
      <c r="A125" s="90"/>
    </row>
    <row r="132" x14ac:dyDescent="0.25"/>
  </sheetData>
  <mergeCells count="231">
    <mergeCell ref="A106:F106"/>
    <mergeCell ref="A107:F107"/>
    <mergeCell ref="A9:F9"/>
    <mergeCell ref="B10:C10"/>
    <mergeCell ref="A11:A12"/>
    <mergeCell ref="C11:C12"/>
    <mergeCell ref="D11:D12"/>
    <mergeCell ref="F11:F12"/>
    <mergeCell ref="A4:F4"/>
    <mergeCell ref="B5:C5"/>
    <mergeCell ref="A6:A7"/>
    <mergeCell ref="C6:C7"/>
    <mergeCell ref="D6:D7"/>
    <mergeCell ref="F6:F7"/>
    <mergeCell ref="A13:A14"/>
    <mergeCell ref="C13:C14"/>
    <mergeCell ref="D13:D14"/>
    <mergeCell ref="F13:F14"/>
    <mergeCell ref="A15:A16"/>
    <mergeCell ref="B15:C15"/>
    <mergeCell ref="D15:D16"/>
    <mergeCell ref="F15:F16"/>
    <mergeCell ref="B16:C16"/>
    <mergeCell ref="E15:E16"/>
    <mergeCell ref="A17:A18"/>
    <mergeCell ref="C17:C18"/>
    <mergeCell ref="D17:D18"/>
    <mergeCell ref="F17:F18"/>
    <mergeCell ref="A19:A20"/>
    <mergeCell ref="C19:C20"/>
    <mergeCell ref="D19:D20"/>
    <mergeCell ref="F19:F20"/>
    <mergeCell ref="E17:E18"/>
    <mergeCell ref="E19:E20"/>
    <mergeCell ref="A21:A22"/>
    <mergeCell ref="C21:C22"/>
    <mergeCell ref="D21:D22"/>
    <mergeCell ref="F21:F22"/>
    <mergeCell ref="A23:A24"/>
    <mergeCell ref="C23:C24"/>
    <mergeCell ref="D23:D24"/>
    <mergeCell ref="F23:F24"/>
    <mergeCell ref="E21:E22"/>
    <mergeCell ref="E23:E24"/>
    <mergeCell ref="A25:A26"/>
    <mergeCell ref="C25:C26"/>
    <mergeCell ref="D25:D26"/>
    <mergeCell ref="F25:F26"/>
    <mergeCell ref="A27:A28"/>
    <mergeCell ref="C27:C28"/>
    <mergeCell ref="D27:D28"/>
    <mergeCell ref="F27:F28"/>
    <mergeCell ref="E25:E26"/>
    <mergeCell ref="E27:E28"/>
    <mergeCell ref="A34:A35"/>
    <mergeCell ref="C34:C35"/>
    <mergeCell ref="D34:D35"/>
    <mergeCell ref="F34:F35"/>
    <mergeCell ref="A36:A37"/>
    <mergeCell ref="C36:C37"/>
    <mergeCell ref="D36:D37"/>
    <mergeCell ref="F36:F37"/>
    <mergeCell ref="A29:A30"/>
    <mergeCell ref="C29:C30"/>
    <mergeCell ref="D29:D30"/>
    <mergeCell ref="F29:F30"/>
    <mergeCell ref="B31:C31"/>
    <mergeCell ref="A32:A33"/>
    <mergeCell ref="C32:C33"/>
    <mergeCell ref="D32:D33"/>
    <mergeCell ref="F32:F33"/>
    <mergeCell ref="E29:E30"/>
    <mergeCell ref="E32:E33"/>
    <mergeCell ref="E34:E35"/>
    <mergeCell ref="E36:E37"/>
    <mergeCell ref="B38:C38"/>
    <mergeCell ref="A39:A40"/>
    <mergeCell ref="C39:C40"/>
    <mergeCell ref="D39:D40"/>
    <mergeCell ref="F39:F40"/>
    <mergeCell ref="A41:A42"/>
    <mergeCell ref="C41:C42"/>
    <mergeCell ref="D41:D42"/>
    <mergeCell ref="F41:F42"/>
    <mergeCell ref="E39:E40"/>
    <mergeCell ref="E41:E42"/>
    <mergeCell ref="A43:A44"/>
    <mergeCell ref="B43:C43"/>
    <mergeCell ref="D43:D44"/>
    <mergeCell ref="F43:F44"/>
    <mergeCell ref="B44:C44"/>
    <mergeCell ref="A45:A46"/>
    <mergeCell ref="C45:C46"/>
    <mergeCell ref="D45:D46"/>
    <mergeCell ref="F45:F46"/>
    <mergeCell ref="E45:E46"/>
    <mergeCell ref="E43:E44"/>
    <mergeCell ref="F50:F51"/>
    <mergeCell ref="A52:A53"/>
    <mergeCell ref="C52:C53"/>
    <mergeCell ref="D52:D53"/>
    <mergeCell ref="F52:F53"/>
    <mergeCell ref="B54:C54"/>
    <mergeCell ref="B47:C47"/>
    <mergeCell ref="B48:C48"/>
    <mergeCell ref="B49:C49"/>
    <mergeCell ref="A50:A51"/>
    <mergeCell ref="C50:C51"/>
    <mergeCell ref="D50:D51"/>
    <mergeCell ref="E50:E51"/>
    <mergeCell ref="E52:E53"/>
    <mergeCell ref="B60:C60"/>
    <mergeCell ref="B61:C61"/>
    <mergeCell ref="A62:A63"/>
    <mergeCell ref="C62:C63"/>
    <mergeCell ref="D62:D63"/>
    <mergeCell ref="F62:F63"/>
    <mergeCell ref="E62:E63"/>
    <mergeCell ref="B55:C55"/>
    <mergeCell ref="A56:A57"/>
    <mergeCell ref="C56:C57"/>
    <mergeCell ref="D56:D57"/>
    <mergeCell ref="F56:F57"/>
    <mergeCell ref="A58:A59"/>
    <mergeCell ref="C58:C59"/>
    <mergeCell ref="D58:D59"/>
    <mergeCell ref="F58:F59"/>
    <mergeCell ref="E56:E57"/>
    <mergeCell ref="E58:E59"/>
    <mergeCell ref="B68:C68"/>
    <mergeCell ref="A69:A70"/>
    <mergeCell ref="B69:C69"/>
    <mergeCell ref="D69:D70"/>
    <mergeCell ref="F69:F70"/>
    <mergeCell ref="B70:C70"/>
    <mergeCell ref="A64:A65"/>
    <mergeCell ref="C64:C65"/>
    <mergeCell ref="D64:D65"/>
    <mergeCell ref="F64:F65"/>
    <mergeCell ref="A66:A67"/>
    <mergeCell ref="B66:C66"/>
    <mergeCell ref="D66:D67"/>
    <mergeCell ref="F66:F67"/>
    <mergeCell ref="B67:C67"/>
    <mergeCell ref="E64:E65"/>
    <mergeCell ref="E66:E67"/>
    <mergeCell ref="E69:E70"/>
    <mergeCell ref="B75:C75"/>
    <mergeCell ref="A76:A77"/>
    <mergeCell ref="B76:C76"/>
    <mergeCell ref="D76:D77"/>
    <mergeCell ref="F76:F77"/>
    <mergeCell ref="B77:C77"/>
    <mergeCell ref="A71:A72"/>
    <mergeCell ref="C71:C72"/>
    <mergeCell ref="D71:D72"/>
    <mergeCell ref="F71:F72"/>
    <mergeCell ref="A73:A74"/>
    <mergeCell ref="C73:C74"/>
    <mergeCell ref="D73:D74"/>
    <mergeCell ref="F73:F74"/>
    <mergeCell ref="E71:E72"/>
    <mergeCell ref="E73:E74"/>
    <mergeCell ref="E76:E77"/>
    <mergeCell ref="A78:A79"/>
    <mergeCell ref="C78:C79"/>
    <mergeCell ref="D78:D79"/>
    <mergeCell ref="F78:F79"/>
    <mergeCell ref="A80:A81"/>
    <mergeCell ref="B80:C80"/>
    <mergeCell ref="D80:D81"/>
    <mergeCell ref="F80:F81"/>
    <mergeCell ref="B81:C81"/>
    <mergeCell ref="E80:E81"/>
    <mergeCell ref="E78:E79"/>
    <mergeCell ref="D91:D92"/>
    <mergeCell ref="E89:E90"/>
    <mergeCell ref="B86:C86"/>
    <mergeCell ref="A87:A88"/>
    <mergeCell ref="C87:C88"/>
    <mergeCell ref="D87:D88"/>
    <mergeCell ref="F87:F88"/>
    <mergeCell ref="E87:E88"/>
    <mergeCell ref="A82:A83"/>
    <mergeCell ref="C82:C83"/>
    <mergeCell ref="D82:D83"/>
    <mergeCell ref="F82:F83"/>
    <mergeCell ref="A84:A85"/>
    <mergeCell ref="C84:C85"/>
    <mergeCell ref="D84:D85"/>
    <mergeCell ref="F84:F85"/>
    <mergeCell ref="E82:E83"/>
    <mergeCell ref="E84:E85"/>
    <mergeCell ref="E91:E92"/>
    <mergeCell ref="A103:A104"/>
    <mergeCell ref="C103:C104"/>
    <mergeCell ref="D103:D104"/>
    <mergeCell ref="F103:F104"/>
    <mergeCell ref="B96:C96"/>
    <mergeCell ref="B97:C97"/>
    <mergeCell ref="A98:A99"/>
    <mergeCell ref="C98:C99"/>
    <mergeCell ref="D98:D99"/>
    <mergeCell ref="F98:F99"/>
    <mergeCell ref="E98:E99"/>
    <mergeCell ref="E101:E102"/>
    <mergeCell ref="E103:E104"/>
    <mergeCell ref="A1:F1"/>
    <mergeCell ref="A2:F2"/>
    <mergeCell ref="E6:E7"/>
    <mergeCell ref="E11:E12"/>
    <mergeCell ref="E13:E14"/>
    <mergeCell ref="B100:C100"/>
    <mergeCell ref="A101:A102"/>
    <mergeCell ref="C101:C102"/>
    <mergeCell ref="D101:D102"/>
    <mergeCell ref="F101:F102"/>
    <mergeCell ref="B93:C93"/>
    <mergeCell ref="A94:A95"/>
    <mergeCell ref="B94:C94"/>
    <mergeCell ref="D94:D95"/>
    <mergeCell ref="F94:F95"/>
    <mergeCell ref="B95:C95"/>
    <mergeCell ref="A89:A90"/>
    <mergeCell ref="C89:C90"/>
    <mergeCell ref="D89:D90"/>
    <mergeCell ref="F89:F90"/>
    <mergeCell ref="F91:F92"/>
    <mergeCell ref="A91:A92"/>
    <mergeCell ref="C91:C92"/>
    <mergeCell ref="E94:E95"/>
  </mergeCells>
  <phoneticPr fontId="6" type="noConversion"/>
  <conditionalFormatting sqref="E15:F16">
    <cfRule type="cellIs" dxfId="17" priority="7" operator="equal">
      <formula>$G$15</formula>
    </cfRule>
  </conditionalFormatting>
  <conditionalFormatting sqref="E69:F70">
    <cfRule type="cellIs" dxfId="16" priority="5" operator="equal">
      <formula>$G$69</formula>
    </cfRule>
  </conditionalFormatting>
  <conditionalFormatting sqref="E82:F83">
    <cfRule type="cellIs" dxfId="15" priority="2" operator="equal">
      <formula>$G$82</formula>
    </cfRule>
  </conditionalFormatting>
  <conditionalFormatting sqref="E84:F85">
    <cfRule type="cellIs" dxfId="14" priority="1" operator="equal">
      <formula>$G$84</formula>
    </cfRule>
  </conditionalFormatting>
  <pageMargins left="0.511811024" right="0.511811024" top="0.78740157499999996" bottom="0.78740157499999996" header="0.31496062000000002" footer="0.31496062000000002"/>
  <pageSetup paperSize="9" scale="18" orientation="portrait" r:id="rId1"/>
  <rowBreaks count="2" manualBreakCount="2">
    <brk id="60" max="4" man="1"/>
    <brk id="74" max="4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'Validação de dados'!$D$1:$D$17</xm:f>
          </x14:formula1>
          <xm:sqref>A110:A125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1"/>
    <pageSetUpPr fitToPage="1"/>
  </sheetPr>
  <dimension ref="A1:O41"/>
  <sheetViews>
    <sheetView showGridLines="0" zoomScale="80" zoomScaleNormal="80" zoomScaleSheetLayoutView="80" workbookViewId="0">
      <selection sqref="A1:O1"/>
    </sheetView>
  </sheetViews>
  <sheetFormatPr defaultColWidth="0" defaultRowHeight="15.75" zeroHeight="1" x14ac:dyDescent="0.25"/>
  <cols>
    <col min="1" max="1" width="29.85546875" style="10" bestFit="1" customWidth="1"/>
    <col min="2" max="3" width="10.5703125" style="10" customWidth="1"/>
    <col min="4" max="4" width="41.7109375" style="10" customWidth="1"/>
    <col min="5" max="5" width="55.28515625" style="10" customWidth="1"/>
    <col min="6" max="6" width="37" style="10" customWidth="1"/>
    <col min="7" max="7" width="31.42578125" style="10" customWidth="1"/>
    <col min="8" max="8" width="55.28515625" style="10" customWidth="1"/>
    <col min="9" max="14" width="19.7109375" style="21" customWidth="1"/>
    <col min="15" max="15" width="15" style="23" customWidth="1"/>
    <col min="16" max="16384" width="9.140625" style="10" hidden="1"/>
  </cols>
  <sheetData>
    <row r="1" spans="1:15" s="18" customFormat="1" ht="33.75" customHeight="1" x14ac:dyDescent="0.25">
      <c r="A1" s="314" t="str">
        <f>'Indicadores e Metas'!A1</f>
        <v>CAU/UF:  BA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</row>
    <row r="2" spans="1:15" s="18" customFormat="1" ht="33.75" customHeight="1" x14ac:dyDescent="0.25">
      <c r="A2" s="314" t="s">
        <v>407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</row>
    <row r="3" spans="1:15" x14ac:dyDescent="0.25">
      <c r="A3" s="94"/>
      <c r="B3" s="94"/>
      <c r="C3" s="94"/>
      <c r="D3" s="94"/>
      <c r="E3" s="94"/>
      <c r="F3" s="94"/>
      <c r="G3" s="94"/>
      <c r="H3" s="94"/>
      <c r="I3" s="95"/>
      <c r="J3" s="95"/>
      <c r="K3" s="95"/>
      <c r="L3" s="95"/>
      <c r="M3" s="95"/>
      <c r="N3" s="95"/>
      <c r="O3" s="96"/>
    </row>
    <row r="4" spans="1:15" s="18" customFormat="1" ht="25.5" customHeight="1" x14ac:dyDescent="0.25">
      <c r="A4" s="316" t="s">
        <v>63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</row>
    <row r="5" spans="1:15" s="18" customFormat="1" ht="26.25" customHeight="1" x14ac:dyDescent="0.25">
      <c r="A5" s="320" t="s">
        <v>4</v>
      </c>
      <c r="B5" s="320" t="s">
        <v>143</v>
      </c>
      <c r="C5" s="320" t="s">
        <v>397</v>
      </c>
      <c r="D5" s="320" t="s">
        <v>5</v>
      </c>
      <c r="E5" s="320" t="s">
        <v>52</v>
      </c>
      <c r="F5" s="320" t="s">
        <v>33</v>
      </c>
      <c r="G5" s="320" t="s">
        <v>268</v>
      </c>
      <c r="H5" s="320" t="s">
        <v>64</v>
      </c>
      <c r="I5" s="320" t="s">
        <v>392</v>
      </c>
      <c r="J5" s="320" t="s">
        <v>393</v>
      </c>
      <c r="K5" s="320"/>
      <c r="L5" s="320" t="s">
        <v>394</v>
      </c>
      <c r="M5" s="320" t="s">
        <v>411</v>
      </c>
      <c r="N5" s="320" t="s">
        <v>3</v>
      </c>
      <c r="O5" s="320"/>
    </row>
    <row r="6" spans="1:15" s="18" customFormat="1" ht="48.75" customHeight="1" x14ac:dyDescent="0.25">
      <c r="A6" s="320"/>
      <c r="B6" s="320"/>
      <c r="C6" s="320"/>
      <c r="D6" s="320"/>
      <c r="E6" s="320"/>
      <c r="F6" s="320"/>
      <c r="G6" s="320"/>
      <c r="H6" s="320"/>
      <c r="I6" s="320"/>
      <c r="J6" s="102" t="s">
        <v>390</v>
      </c>
      <c r="K6" s="103" t="s">
        <v>391</v>
      </c>
      <c r="L6" s="320"/>
      <c r="M6" s="320"/>
      <c r="N6" s="102" t="s">
        <v>395</v>
      </c>
      <c r="O6" s="102" t="s">
        <v>396</v>
      </c>
    </row>
    <row r="7" spans="1:15" s="18" customFormat="1" ht="65.25" customHeight="1" x14ac:dyDescent="0.25">
      <c r="A7" s="98" t="s">
        <v>437</v>
      </c>
      <c r="B7" s="208" t="s">
        <v>272</v>
      </c>
      <c r="C7" s="97" t="s">
        <v>457</v>
      </c>
      <c r="D7" s="98" t="s">
        <v>459</v>
      </c>
      <c r="E7" s="98" t="s">
        <v>488</v>
      </c>
      <c r="F7" s="98" t="s">
        <v>19</v>
      </c>
      <c r="G7" s="98" t="s">
        <v>96</v>
      </c>
      <c r="H7" s="77" t="s">
        <v>517</v>
      </c>
      <c r="I7" s="99">
        <v>325805.32</v>
      </c>
      <c r="J7" s="99">
        <v>86895.6</v>
      </c>
      <c r="K7" s="99">
        <f>381145.32-J7+8000</f>
        <v>302249.71999999997</v>
      </c>
      <c r="L7" s="99">
        <f>J7+K7</f>
        <v>389145.31999999995</v>
      </c>
      <c r="M7" s="99"/>
      <c r="N7" s="100">
        <f>L7-I7</f>
        <v>63339.999999999942</v>
      </c>
      <c r="O7" s="101">
        <f>IFERROR(N7/I7,)</f>
        <v>0.19441057623000121</v>
      </c>
    </row>
    <row r="8" spans="1:15" s="18" customFormat="1" ht="99" customHeight="1" x14ac:dyDescent="0.25">
      <c r="A8" s="98" t="s">
        <v>438</v>
      </c>
      <c r="B8" s="208" t="s">
        <v>272</v>
      </c>
      <c r="C8" s="97" t="s">
        <v>457</v>
      </c>
      <c r="D8" s="98" t="s">
        <v>460</v>
      </c>
      <c r="E8" s="98" t="s">
        <v>489</v>
      </c>
      <c r="F8" s="98" t="s">
        <v>30</v>
      </c>
      <c r="G8" s="98" t="s">
        <v>96</v>
      </c>
      <c r="H8" s="98" t="s">
        <v>518</v>
      </c>
      <c r="I8" s="99">
        <v>732417.61</v>
      </c>
      <c r="J8" s="99">
        <v>173470.83</v>
      </c>
      <c r="K8" s="99">
        <v>467512.67</v>
      </c>
      <c r="L8" s="99">
        <f t="shared" ref="L8:L36" si="0">J8+K8</f>
        <v>640983.5</v>
      </c>
      <c r="M8" s="99"/>
      <c r="N8" s="100">
        <f t="shared" ref="N8:N35" si="1">L8-I8</f>
        <v>-91434.109999999986</v>
      </c>
      <c r="O8" s="101">
        <f t="shared" ref="O8:O36" si="2">IFERROR(N8/I8,)</f>
        <v>-0.12483876514110576</v>
      </c>
    </row>
    <row r="9" spans="1:15" s="18" customFormat="1" ht="65.25" customHeight="1" x14ac:dyDescent="0.25">
      <c r="A9" s="98" t="s">
        <v>439</v>
      </c>
      <c r="B9" s="208" t="s">
        <v>272</v>
      </c>
      <c r="C9" s="97" t="s">
        <v>457</v>
      </c>
      <c r="D9" s="98" t="s">
        <v>461</v>
      </c>
      <c r="E9" s="98" t="s">
        <v>490</v>
      </c>
      <c r="F9" s="98" t="s">
        <v>108</v>
      </c>
      <c r="G9" s="98" t="s">
        <v>92</v>
      </c>
      <c r="H9" s="98" t="s">
        <v>519</v>
      </c>
      <c r="I9" s="99">
        <v>385251.54</v>
      </c>
      <c r="J9" s="99">
        <v>121727.01</v>
      </c>
      <c r="K9" s="99">
        <f>394489.7-J9</f>
        <v>272762.69</v>
      </c>
      <c r="L9" s="99">
        <f t="shared" si="0"/>
        <v>394489.7</v>
      </c>
      <c r="M9" s="99"/>
      <c r="N9" s="100">
        <f t="shared" si="1"/>
        <v>9238.1600000000326</v>
      </c>
      <c r="O9" s="101">
        <f t="shared" si="2"/>
        <v>2.3979553722225311E-2</v>
      </c>
    </row>
    <row r="10" spans="1:15" s="18" customFormat="1" ht="65.25" customHeight="1" x14ac:dyDescent="0.25">
      <c r="A10" s="98" t="s">
        <v>440</v>
      </c>
      <c r="B10" s="208" t="s">
        <v>272</v>
      </c>
      <c r="C10" s="97" t="s">
        <v>457</v>
      </c>
      <c r="D10" s="98" t="s">
        <v>462</v>
      </c>
      <c r="E10" s="98" t="s">
        <v>491</v>
      </c>
      <c r="F10" s="98" t="s">
        <v>25</v>
      </c>
      <c r="G10" s="98" t="s">
        <v>96</v>
      </c>
      <c r="H10" s="98" t="s">
        <v>520</v>
      </c>
      <c r="I10" s="99">
        <v>223039.1</v>
      </c>
      <c r="J10" s="99">
        <v>39987.730000000003</v>
      </c>
      <c r="K10" s="99">
        <f>219752.1-J10</f>
        <v>179764.37</v>
      </c>
      <c r="L10" s="99">
        <f t="shared" si="0"/>
        <v>219752.1</v>
      </c>
      <c r="M10" s="99"/>
      <c r="N10" s="100">
        <f t="shared" si="1"/>
        <v>-3287</v>
      </c>
      <c r="O10" s="101">
        <f t="shared" si="2"/>
        <v>-1.4737326325294533E-2</v>
      </c>
    </row>
    <row r="11" spans="1:15" s="18" customFormat="1" ht="65.25" customHeight="1" x14ac:dyDescent="0.25">
      <c r="A11" s="98" t="s">
        <v>441</v>
      </c>
      <c r="B11" s="208" t="s">
        <v>272</v>
      </c>
      <c r="C11" s="97" t="s">
        <v>457</v>
      </c>
      <c r="D11" s="98" t="s">
        <v>463</v>
      </c>
      <c r="E11" s="98" t="s">
        <v>492</v>
      </c>
      <c r="F11" s="98" t="s">
        <v>27</v>
      </c>
      <c r="G11" s="98" t="s">
        <v>92</v>
      </c>
      <c r="H11" s="98" t="s">
        <v>521</v>
      </c>
      <c r="I11" s="99">
        <v>548413.03</v>
      </c>
      <c r="J11" s="99">
        <v>171348.43</v>
      </c>
      <c r="K11" s="99">
        <f>509852.95-J11+4528.17</f>
        <v>343032.69</v>
      </c>
      <c r="L11" s="99">
        <f t="shared" si="0"/>
        <v>514381.12</v>
      </c>
      <c r="M11" s="99"/>
      <c r="N11" s="100">
        <f t="shared" si="1"/>
        <v>-34031.910000000033</v>
      </c>
      <c r="O11" s="101">
        <f t="shared" si="2"/>
        <v>-6.2055254230556904E-2</v>
      </c>
    </row>
    <row r="12" spans="1:15" s="18" customFormat="1" ht="65.25" customHeight="1" x14ac:dyDescent="0.25">
      <c r="A12" s="98" t="s">
        <v>442</v>
      </c>
      <c r="B12" s="208" t="s">
        <v>272</v>
      </c>
      <c r="C12" s="97" t="s">
        <v>457</v>
      </c>
      <c r="D12" s="98" t="s">
        <v>464</v>
      </c>
      <c r="E12" s="98" t="s">
        <v>493</v>
      </c>
      <c r="F12" s="98" t="s">
        <v>28</v>
      </c>
      <c r="G12" s="98" t="s">
        <v>96</v>
      </c>
      <c r="H12" s="98" t="s">
        <v>522</v>
      </c>
      <c r="I12" s="99">
        <v>360087.03999999998</v>
      </c>
      <c r="J12" s="99">
        <v>105049.39</v>
      </c>
      <c r="K12" s="99">
        <f>354155.04-J12</f>
        <v>249105.64999999997</v>
      </c>
      <c r="L12" s="99">
        <f t="shared" si="0"/>
        <v>354155.04</v>
      </c>
      <c r="M12" s="99"/>
      <c r="N12" s="100">
        <f t="shared" si="1"/>
        <v>-5932</v>
      </c>
      <c r="O12" s="101">
        <f t="shared" si="2"/>
        <v>-1.6473794780284233E-2</v>
      </c>
    </row>
    <row r="13" spans="1:15" s="18" customFormat="1" ht="65.25" customHeight="1" x14ac:dyDescent="0.25">
      <c r="A13" s="98" t="s">
        <v>443</v>
      </c>
      <c r="B13" s="208" t="s">
        <v>272</v>
      </c>
      <c r="C13" s="97" t="s">
        <v>457</v>
      </c>
      <c r="D13" s="98" t="s">
        <v>465</v>
      </c>
      <c r="E13" s="98" t="s">
        <v>494</v>
      </c>
      <c r="F13" s="98" t="s">
        <v>25</v>
      </c>
      <c r="G13" s="98" t="s">
        <v>96</v>
      </c>
      <c r="H13" s="98" t="s">
        <v>523</v>
      </c>
      <c r="I13" s="99">
        <v>201390.2</v>
      </c>
      <c r="J13" s="99">
        <v>54566.46</v>
      </c>
      <c r="K13" s="99">
        <f>230470.2-J13-20000</f>
        <v>155903.74000000002</v>
      </c>
      <c r="L13" s="99">
        <f t="shared" si="0"/>
        <v>210470.2</v>
      </c>
      <c r="M13" s="99"/>
      <c r="N13" s="100">
        <f t="shared" si="1"/>
        <v>9080</v>
      </c>
      <c r="O13" s="101">
        <f t="shared" si="2"/>
        <v>4.5086603022391356E-2</v>
      </c>
    </row>
    <row r="14" spans="1:15" s="18" customFormat="1" ht="65.25" customHeight="1" x14ac:dyDescent="0.25">
      <c r="A14" s="98" t="s">
        <v>444</v>
      </c>
      <c r="B14" s="208" t="s">
        <v>272</v>
      </c>
      <c r="C14" s="97" t="s">
        <v>457</v>
      </c>
      <c r="D14" s="98" t="s">
        <v>466</v>
      </c>
      <c r="E14" s="98" t="s">
        <v>495</v>
      </c>
      <c r="F14" s="98" t="s">
        <v>28</v>
      </c>
      <c r="G14" s="98" t="s">
        <v>102</v>
      </c>
      <c r="H14" s="98" t="s">
        <v>524</v>
      </c>
      <c r="I14" s="99">
        <v>18000</v>
      </c>
      <c r="J14" s="99">
        <v>4620</v>
      </c>
      <c r="K14" s="99">
        <f>78360-J14-20000</f>
        <v>53740</v>
      </c>
      <c r="L14" s="99">
        <f t="shared" si="0"/>
        <v>58360</v>
      </c>
      <c r="M14" s="99"/>
      <c r="N14" s="100">
        <f t="shared" si="1"/>
        <v>40360</v>
      </c>
      <c r="O14" s="101">
        <f t="shared" si="2"/>
        <v>2.2422222222222223</v>
      </c>
    </row>
    <row r="15" spans="1:15" s="18" customFormat="1" ht="103.5" customHeight="1" x14ac:dyDescent="0.25">
      <c r="A15" s="98" t="s">
        <v>445</v>
      </c>
      <c r="B15" s="208" t="s">
        <v>272</v>
      </c>
      <c r="C15" s="97" t="s">
        <v>457</v>
      </c>
      <c r="D15" s="98" t="s">
        <v>467</v>
      </c>
      <c r="E15" s="98" t="s">
        <v>496</v>
      </c>
      <c r="F15" s="98" t="s">
        <v>19</v>
      </c>
      <c r="G15" s="98" t="s">
        <v>92</v>
      </c>
      <c r="H15" s="98" t="s">
        <v>525</v>
      </c>
      <c r="I15" s="99">
        <v>24000</v>
      </c>
      <c r="J15" s="99">
        <v>17859.91</v>
      </c>
      <c r="K15" s="99">
        <f>111720-J15-20000</f>
        <v>73860.09</v>
      </c>
      <c r="L15" s="99">
        <f t="shared" si="0"/>
        <v>91720</v>
      </c>
      <c r="M15" s="99"/>
      <c r="N15" s="100">
        <f t="shared" si="1"/>
        <v>67720</v>
      </c>
      <c r="O15" s="101">
        <f t="shared" si="2"/>
        <v>2.8216666666666668</v>
      </c>
    </row>
    <row r="16" spans="1:15" s="18" customFormat="1" ht="65.25" customHeight="1" x14ac:dyDescent="0.25">
      <c r="A16" s="98" t="s">
        <v>446</v>
      </c>
      <c r="B16" s="208" t="s">
        <v>272</v>
      </c>
      <c r="C16" s="97" t="s">
        <v>457</v>
      </c>
      <c r="D16" s="98" t="s">
        <v>468</v>
      </c>
      <c r="E16" s="98" t="s">
        <v>497</v>
      </c>
      <c r="F16" s="98" t="s">
        <v>27</v>
      </c>
      <c r="G16" s="98" t="s">
        <v>92</v>
      </c>
      <c r="H16" s="98" t="s">
        <v>526</v>
      </c>
      <c r="I16" s="99">
        <v>18000</v>
      </c>
      <c r="J16" s="99">
        <v>13971.39</v>
      </c>
      <c r="K16" s="99">
        <f>111860-J16-20000</f>
        <v>77888.61</v>
      </c>
      <c r="L16" s="99">
        <f t="shared" si="0"/>
        <v>91860</v>
      </c>
      <c r="M16" s="99"/>
      <c r="N16" s="100">
        <f t="shared" si="1"/>
        <v>73860</v>
      </c>
      <c r="O16" s="101">
        <f t="shared" si="2"/>
        <v>4.1033333333333335</v>
      </c>
    </row>
    <row r="17" spans="1:15" s="18" customFormat="1" ht="65.25" customHeight="1" x14ac:dyDescent="0.25">
      <c r="A17" s="98" t="s">
        <v>447</v>
      </c>
      <c r="B17" s="208" t="s">
        <v>272</v>
      </c>
      <c r="C17" s="97" t="s">
        <v>457</v>
      </c>
      <c r="D17" s="98" t="s">
        <v>469</v>
      </c>
      <c r="E17" s="98" t="s">
        <v>498</v>
      </c>
      <c r="F17" s="98" t="s">
        <v>120</v>
      </c>
      <c r="G17" s="98" t="s">
        <v>92</v>
      </c>
      <c r="H17" s="98" t="s">
        <v>527</v>
      </c>
      <c r="I17" s="99">
        <v>86700</v>
      </c>
      <c r="J17" s="99">
        <v>16442.37</v>
      </c>
      <c r="K17" s="99">
        <f>136220-J17</f>
        <v>119777.63</v>
      </c>
      <c r="L17" s="99">
        <f t="shared" si="0"/>
        <v>136220</v>
      </c>
      <c r="M17" s="99"/>
      <c r="N17" s="100">
        <f t="shared" si="1"/>
        <v>49520</v>
      </c>
      <c r="O17" s="101">
        <f t="shared" si="2"/>
        <v>0.57116493656286049</v>
      </c>
    </row>
    <row r="18" spans="1:15" s="18" customFormat="1" ht="65.25" customHeight="1" x14ac:dyDescent="0.25">
      <c r="A18" s="98" t="s">
        <v>549</v>
      </c>
      <c r="B18" s="208" t="s">
        <v>272</v>
      </c>
      <c r="C18" s="97" t="s">
        <v>457</v>
      </c>
      <c r="D18" s="98" t="s">
        <v>470</v>
      </c>
      <c r="E18" s="98" t="s">
        <v>499</v>
      </c>
      <c r="F18" s="98" t="s">
        <v>28</v>
      </c>
      <c r="G18" s="98" t="s">
        <v>92</v>
      </c>
      <c r="H18" s="98" t="s">
        <v>528</v>
      </c>
      <c r="I18" s="99">
        <v>35000</v>
      </c>
      <c r="J18" s="99">
        <v>3455</v>
      </c>
      <c r="K18" s="99">
        <f>78120-J18</f>
        <v>74665</v>
      </c>
      <c r="L18" s="99">
        <f t="shared" si="0"/>
        <v>78120</v>
      </c>
      <c r="M18" s="99"/>
      <c r="N18" s="100">
        <f t="shared" si="1"/>
        <v>43120</v>
      </c>
      <c r="O18" s="101">
        <f t="shared" si="2"/>
        <v>1.232</v>
      </c>
    </row>
    <row r="19" spans="1:15" s="18" customFormat="1" ht="65.25" customHeight="1" x14ac:dyDescent="0.25">
      <c r="A19" s="98" t="s">
        <v>448</v>
      </c>
      <c r="B19" s="208" t="s">
        <v>272</v>
      </c>
      <c r="C19" s="97" t="s">
        <v>457</v>
      </c>
      <c r="D19" s="98" t="s">
        <v>471</v>
      </c>
      <c r="E19" s="98" t="s">
        <v>500</v>
      </c>
      <c r="F19" s="98" t="s">
        <v>114</v>
      </c>
      <c r="G19" s="98" t="s">
        <v>92</v>
      </c>
      <c r="H19" s="98" t="s">
        <v>529</v>
      </c>
      <c r="I19" s="99">
        <v>130000</v>
      </c>
      <c r="J19" s="99">
        <v>102938.16</v>
      </c>
      <c r="K19" s="99">
        <f>307640-J19+30000+20360</f>
        <v>255061.84</v>
      </c>
      <c r="L19" s="99">
        <f t="shared" si="0"/>
        <v>358000</v>
      </c>
      <c r="M19" s="99"/>
      <c r="N19" s="100">
        <f t="shared" si="1"/>
        <v>228000</v>
      </c>
      <c r="O19" s="101">
        <f t="shared" si="2"/>
        <v>1.7538461538461538</v>
      </c>
    </row>
    <row r="20" spans="1:15" s="18" customFormat="1" ht="65.25" customHeight="1" x14ac:dyDescent="0.25">
      <c r="A20" s="98" t="s">
        <v>448</v>
      </c>
      <c r="B20" s="208" t="s">
        <v>271</v>
      </c>
      <c r="C20" s="97" t="s">
        <v>456</v>
      </c>
      <c r="D20" s="98" t="s">
        <v>472</v>
      </c>
      <c r="E20" s="98" t="s">
        <v>501</v>
      </c>
      <c r="F20" s="98" t="s">
        <v>24</v>
      </c>
      <c r="G20" s="98" t="s">
        <v>96</v>
      </c>
      <c r="H20" s="98" t="s">
        <v>530</v>
      </c>
      <c r="I20" s="99">
        <v>100000</v>
      </c>
      <c r="J20" s="99">
        <v>0</v>
      </c>
      <c r="K20" s="99">
        <v>100000</v>
      </c>
      <c r="L20" s="99">
        <f t="shared" si="0"/>
        <v>100000</v>
      </c>
      <c r="M20" s="99"/>
      <c r="N20" s="100">
        <f t="shared" si="1"/>
        <v>0</v>
      </c>
      <c r="O20" s="101">
        <f t="shared" si="2"/>
        <v>0</v>
      </c>
    </row>
    <row r="21" spans="1:15" s="18" customFormat="1" ht="65.25" customHeight="1" x14ac:dyDescent="0.25">
      <c r="A21" s="98" t="s">
        <v>448</v>
      </c>
      <c r="B21" s="208" t="s">
        <v>271</v>
      </c>
      <c r="C21" s="97" t="s">
        <v>457</v>
      </c>
      <c r="D21" s="98" t="s">
        <v>473</v>
      </c>
      <c r="E21" s="98" t="s">
        <v>502</v>
      </c>
      <c r="F21" s="98" t="s">
        <v>21</v>
      </c>
      <c r="G21" s="98" t="s">
        <v>97</v>
      </c>
      <c r="H21" s="98" t="s">
        <v>531</v>
      </c>
      <c r="I21" s="99">
        <v>100000</v>
      </c>
      <c r="J21" s="99">
        <v>34500.61</v>
      </c>
      <c r="K21" s="99">
        <f>150000-J21</f>
        <v>115499.39</v>
      </c>
      <c r="L21" s="99">
        <f t="shared" si="0"/>
        <v>150000</v>
      </c>
      <c r="M21" s="99"/>
      <c r="N21" s="100">
        <f t="shared" si="1"/>
        <v>50000</v>
      </c>
      <c r="O21" s="101">
        <f t="shared" si="2"/>
        <v>0.5</v>
      </c>
    </row>
    <row r="22" spans="1:15" s="18" customFormat="1" ht="65.25" customHeight="1" x14ac:dyDescent="0.25">
      <c r="A22" s="98" t="s">
        <v>449</v>
      </c>
      <c r="B22" s="208" t="s">
        <v>272</v>
      </c>
      <c r="C22" s="97" t="s">
        <v>457</v>
      </c>
      <c r="D22" s="98" t="s">
        <v>474</v>
      </c>
      <c r="E22" s="98" t="s">
        <v>503</v>
      </c>
      <c r="F22" s="98" t="s">
        <v>27</v>
      </c>
      <c r="G22" s="98" t="s">
        <v>102</v>
      </c>
      <c r="H22" s="98" t="s">
        <v>532</v>
      </c>
      <c r="I22" s="99">
        <v>101574.18</v>
      </c>
      <c r="J22" s="99">
        <v>42322.6</v>
      </c>
      <c r="K22" s="99">
        <f>107947.31-J22</f>
        <v>65624.709999999992</v>
      </c>
      <c r="L22" s="99">
        <f t="shared" si="0"/>
        <v>107947.31</v>
      </c>
      <c r="M22" s="99"/>
      <c r="N22" s="100">
        <f t="shared" si="1"/>
        <v>6373.1300000000047</v>
      </c>
      <c r="O22" s="101">
        <f t="shared" si="2"/>
        <v>6.2743602754164546E-2</v>
      </c>
    </row>
    <row r="23" spans="1:15" s="18" customFormat="1" ht="65.25" customHeight="1" x14ac:dyDescent="0.25">
      <c r="A23" s="98" t="s">
        <v>450</v>
      </c>
      <c r="B23" s="208" t="s">
        <v>272</v>
      </c>
      <c r="C23" s="97" t="s">
        <v>457</v>
      </c>
      <c r="D23" s="98" t="s">
        <v>475</v>
      </c>
      <c r="E23" s="98" t="s">
        <v>504</v>
      </c>
      <c r="F23" s="98" t="s">
        <v>24</v>
      </c>
      <c r="G23" s="98" t="s">
        <v>96</v>
      </c>
      <c r="H23" s="98" t="s">
        <v>533</v>
      </c>
      <c r="I23" s="99">
        <v>517675.4</v>
      </c>
      <c r="J23" s="99">
        <v>77828.14</v>
      </c>
      <c r="K23" s="99">
        <f>245510.95-J23</f>
        <v>167682.81</v>
      </c>
      <c r="L23" s="99">
        <f t="shared" si="0"/>
        <v>245510.95</v>
      </c>
      <c r="M23" s="99"/>
      <c r="N23" s="100">
        <f t="shared" si="1"/>
        <v>-272164.45</v>
      </c>
      <c r="O23" s="101">
        <f t="shared" si="2"/>
        <v>-0.52574344850074006</v>
      </c>
    </row>
    <row r="24" spans="1:15" s="18" customFormat="1" ht="65.25" customHeight="1" x14ac:dyDescent="0.25">
      <c r="A24" s="98" t="s">
        <v>438</v>
      </c>
      <c r="B24" s="208" t="s">
        <v>272</v>
      </c>
      <c r="C24" s="97" t="s">
        <v>456</v>
      </c>
      <c r="D24" s="98" t="s">
        <v>476</v>
      </c>
      <c r="E24" s="98" t="s">
        <v>505</v>
      </c>
      <c r="F24" s="98" t="s">
        <v>29</v>
      </c>
      <c r="G24" s="98" t="s">
        <v>100</v>
      </c>
      <c r="H24" s="98" t="s">
        <v>534</v>
      </c>
      <c r="I24" s="99">
        <v>60000</v>
      </c>
      <c r="J24" s="99">
        <v>0</v>
      </c>
      <c r="K24" s="99">
        <v>60000</v>
      </c>
      <c r="L24" s="99">
        <f t="shared" si="0"/>
        <v>60000</v>
      </c>
      <c r="M24" s="99"/>
      <c r="N24" s="100">
        <f t="shared" si="1"/>
        <v>0</v>
      </c>
      <c r="O24" s="101">
        <f t="shared" si="2"/>
        <v>0</v>
      </c>
    </row>
    <row r="25" spans="1:15" s="18" customFormat="1" ht="65.25" customHeight="1" x14ac:dyDescent="0.25">
      <c r="A25" s="98" t="s">
        <v>448</v>
      </c>
      <c r="B25" s="208" t="s">
        <v>271</v>
      </c>
      <c r="C25" s="97" t="s">
        <v>456</v>
      </c>
      <c r="D25" s="98" t="s">
        <v>477</v>
      </c>
      <c r="E25" s="98" t="s">
        <v>506</v>
      </c>
      <c r="F25" s="98" t="s">
        <v>26</v>
      </c>
      <c r="G25" s="98" t="s">
        <v>94</v>
      </c>
      <c r="H25" s="98" t="s">
        <v>535</v>
      </c>
      <c r="I25" s="99">
        <v>270000</v>
      </c>
      <c r="J25" s="99">
        <v>0</v>
      </c>
      <c r="K25" s="99">
        <v>270000</v>
      </c>
      <c r="L25" s="99">
        <f t="shared" si="0"/>
        <v>270000</v>
      </c>
      <c r="M25" s="99"/>
      <c r="N25" s="100">
        <f t="shared" si="1"/>
        <v>0</v>
      </c>
      <c r="O25" s="101">
        <f t="shared" si="2"/>
        <v>0</v>
      </c>
    </row>
    <row r="26" spans="1:15" s="18" customFormat="1" ht="65.25" customHeight="1" x14ac:dyDescent="0.25">
      <c r="A26" s="98" t="s">
        <v>451</v>
      </c>
      <c r="B26" s="208" t="s">
        <v>272</v>
      </c>
      <c r="C26" s="97" t="s">
        <v>457</v>
      </c>
      <c r="D26" s="98" t="s">
        <v>478</v>
      </c>
      <c r="E26" s="98" t="s">
        <v>507</v>
      </c>
      <c r="F26" s="98" t="s">
        <v>108</v>
      </c>
      <c r="G26" s="98" t="s">
        <v>96</v>
      </c>
      <c r="H26" s="98" t="s">
        <v>536</v>
      </c>
      <c r="I26" s="99">
        <v>116000</v>
      </c>
      <c r="J26" s="99">
        <v>31682.25</v>
      </c>
      <c r="K26" s="99">
        <f>142000-J26</f>
        <v>110317.75</v>
      </c>
      <c r="L26" s="99">
        <f t="shared" si="0"/>
        <v>142000</v>
      </c>
      <c r="M26" s="99"/>
      <c r="N26" s="100">
        <f t="shared" si="1"/>
        <v>26000</v>
      </c>
      <c r="O26" s="101">
        <f t="shared" si="2"/>
        <v>0.22413793103448276</v>
      </c>
    </row>
    <row r="27" spans="1:15" s="18" customFormat="1" ht="87" customHeight="1" x14ac:dyDescent="0.25">
      <c r="A27" s="98" t="s">
        <v>448</v>
      </c>
      <c r="B27" s="208" t="s">
        <v>271</v>
      </c>
      <c r="C27" s="97" t="s">
        <v>456</v>
      </c>
      <c r="D27" s="98" t="s">
        <v>479</v>
      </c>
      <c r="E27" s="98" t="s">
        <v>508</v>
      </c>
      <c r="F27" s="98" t="s">
        <v>31</v>
      </c>
      <c r="G27" s="98" t="s">
        <v>102</v>
      </c>
      <c r="H27" s="98" t="s">
        <v>537</v>
      </c>
      <c r="I27" s="99">
        <v>800000</v>
      </c>
      <c r="J27" s="99">
        <v>0</v>
      </c>
      <c r="K27" s="99">
        <v>800000</v>
      </c>
      <c r="L27" s="99">
        <f t="shared" si="0"/>
        <v>800000</v>
      </c>
      <c r="M27" s="99">
        <f>'Anexo 3. Elemento de Despesas'!U26</f>
        <v>800000</v>
      </c>
      <c r="N27" s="100">
        <f t="shared" si="1"/>
        <v>0</v>
      </c>
      <c r="O27" s="101">
        <f t="shared" si="2"/>
        <v>0</v>
      </c>
    </row>
    <row r="28" spans="1:15" s="18" customFormat="1" ht="87" customHeight="1" x14ac:dyDescent="0.25">
      <c r="A28" s="98" t="s">
        <v>448</v>
      </c>
      <c r="B28" s="208" t="s">
        <v>271</v>
      </c>
      <c r="C28" s="97" t="s">
        <v>456</v>
      </c>
      <c r="D28" s="98" t="s">
        <v>480</v>
      </c>
      <c r="E28" s="98" t="s">
        <v>509</v>
      </c>
      <c r="F28" s="98" t="s">
        <v>31</v>
      </c>
      <c r="G28" s="98" t="s">
        <v>102</v>
      </c>
      <c r="H28" s="98" t="s">
        <v>538</v>
      </c>
      <c r="I28" s="99">
        <v>640000</v>
      </c>
      <c r="J28" s="99">
        <v>0</v>
      </c>
      <c r="K28" s="99">
        <v>640000</v>
      </c>
      <c r="L28" s="99">
        <f t="shared" si="0"/>
        <v>640000</v>
      </c>
      <c r="M28" s="99">
        <f>'Anexo 3. Elemento de Despesas'!U27</f>
        <v>640000</v>
      </c>
      <c r="N28" s="100">
        <f t="shared" si="1"/>
        <v>0</v>
      </c>
      <c r="O28" s="101">
        <f t="shared" si="2"/>
        <v>0</v>
      </c>
    </row>
    <row r="29" spans="1:15" s="18" customFormat="1" ht="65.25" customHeight="1" x14ac:dyDescent="0.25">
      <c r="A29" s="98" t="s">
        <v>441</v>
      </c>
      <c r="B29" s="208" t="s">
        <v>272</v>
      </c>
      <c r="C29" s="97" t="s">
        <v>457</v>
      </c>
      <c r="D29" s="98" t="s">
        <v>481</v>
      </c>
      <c r="E29" s="98" t="s">
        <v>510</v>
      </c>
      <c r="F29" s="98" t="s">
        <v>19</v>
      </c>
      <c r="G29" s="98" t="s">
        <v>102</v>
      </c>
      <c r="H29" s="98" t="s">
        <v>539</v>
      </c>
      <c r="I29" s="99">
        <v>433447.85</v>
      </c>
      <c r="J29" s="99">
        <v>180603.3</v>
      </c>
      <c r="K29" s="99">
        <f>460772.09-J29</f>
        <v>280168.79000000004</v>
      </c>
      <c r="L29" s="99">
        <f t="shared" si="0"/>
        <v>460772.09</v>
      </c>
      <c r="M29" s="99"/>
      <c r="N29" s="100">
        <f t="shared" si="1"/>
        <v>27324.240000000049</v>
      </c>
      <c r="O29" s="101">
        <f t="shared" si="2"/>
        <v>6.3039279119737363E-2</v>
      </c>
    </row>
    <row r="30" spans="1:15" s="18" customFormat="1" ht="65.25" customHeight="1" x14ac:dyDescent="0.25">
      <c r="A30" s="98" t="s">
        <v>441</v>
      </c>
      <c r="B30" s="208" t="s">
        <v>272</v>
      </c>
      <c r="C30" s="97" t="s">
        <v>457</v>
      </c>
      <c r="D30" s="98" t="s">
        <v>482</v>
      </c>
      <c r="E30" s="98" t="s">
        <v>511</v>
      </c>
      <c r="F30" s="98" t="s">
        <v>108</v>
      </c>
      <c r="G30" s="98" t="s">
        <v>102</v>
      </c>
      <c r="H30" s="98" t="s">
        <v>540</v>
      </c>
      <c r="I30" s="99">
        <v>56512.35</v>
      </c>
      <c r="J30" s="99">
        <v>23546.799999999999</v>
      </c>
      <c r="K30" s="99">
        <f>56048.05-J30</f>
        <v>32501.250000000004</v>
      </c>
      <c r="L30" s="99">
        <f t="shared" si="0"/>
        <v>56048.05</v>
      </c>
      <c r="M30" s="99"/>
      <c r="N30" s="100">
        <f t="shared" si="1"/>
        <v>-464.29999999999563</v>
      </c>
      <c r="O30" s="101">
        <f t="shared" si="2"/>
        <v>-8.2159032494666332E-3</v>
      </c>
    </row>
    <row r="31" spans="1:15" s="18" customFormat="1" ht="65.25" customHeight="1" x14ac:dyDescent="0.25">
      <c r="A31" s="98" t="s">
        <v>452</v>
      </c>
      <c r="B31" s="208" t="s">
        <v>272</v>
      </c>
      <c r="C31" s="97" t="s">
        <v>457</v>
      </c>
      <c r="D31" s="98" t="s">
        <v>483</v>
      </c>
      <c r="E31" s="98" t="s">
        <v>512</v>
      </c>
      <c r="F31" s="98" t="s">
        <v>19</v>
      </c>
      <c r="G31" s="98" t="s">
        <v>94</v>
      </c>
      <c r="H31" s="98" t="s">
        <v>541</v>
      </c>
      <c r="I31" s="99">
        <v>443914</v>
      </c>
      <c r="J31" s="99">
        <v>153865.73000000001</v>
      </c>
      <c r="K31" s="99">
        <f>457699-J31</f>
        <v>303833.27</v>
      </c>
      <c r="L31" s="99">
        <f t="shared" si="0"/>
        <v>457699</v>
      </c>
      <c r="M31" s="99"/>
      <c r="N31" s="100">
        <f t="shared" si="1"/>
        <v>13785</v>
      </c>
      <c r="O31" s="101">
        <f t="shared" si="2"/>
        <v>3.1053312128024799E-2</v>
      </c>
    </row>
    <row r="32" spans="1:15" s="18" customFormat="1" ht="65.25" customHeight="1" x14ac:dyDescent="0.25">
      <c r="A32" s="98" t="s">
        <v>448</v>
      </c>
      <c r="B32" s="208" t="s">
        <v>272</v>
      </c>
      <c r="C32" s="97" t="s">
        <v>456</v>
      </c>
      <c r="D32" s="98" t="s">
        <v>484</v>
      </c>
      <c r="E32" s="98" t="s">
        <v>513</v>
      </c>
      <c r="F32" s="98" t="s">
        <v>27</v>
      </c>
      <c r="G32" s="98" t="s">
        <v>102</v>
      </c>
      <c r="H32" s="98" t="s">
        <v>542</v>
      </c>
      <c r="I32" s="99">
        <v>41000</v>
      </c>
      <c r="J32" s="99">
        <v>0</v>
      </c>
      <c r="K32" s="99">
        <v>41000</v>
      </c>
      <c r="L32" s="99">
        <f t="shared" si="0"/>
        <v>41000</v>
      </c>
      <c r="M32" s="99"/>
      <c r="N32" s="100">
        <f t="shared" si="1"/>
        <v>0</v>
      </c>
      <c r="O32" s="101">
        <f t="shared" si="2"/>
        <v>0</v>
      </c>
    </row>
    <row r="33" spans="1:15" s="18" customFormat="1" ht="91.5" customHeight="1" x14ac:dyDescent="0.25">
      <c r="A33" s="98" t="s">
        <v>437</v>
      </c>
      <c r="B33" s="208" t="s">
        <v>271</v>
      </c>
      <c r="C33" s="97" t="s">
        <v>456</v>
      </c>
      <c r="D33" s="98" t="s">
        <v>485</v>
      </c>
      <c r="E33" s="98" t="s">
        <v>514</v>
      </c>
      <c r="F33" s="98" t="s">
        <v>31</v>
      </c>
      <c r="G33" s="98" t="s">
        <v>102</v>
      </c>
      <c r="H33" s="98" t="s">
        <v>537</v>
      </c>
      <c r="I33" s="99">
        <v>4000000</v>
      </c>
      <c r="J33" s="99">
        <v>0</v>
      </c>
      <c r="K33" s="99">
        <v>4000000</v>
      </c>
      <c r="L33" s="99">
        <f t="shared" si="0"/>
        <v>4000000</v>
      </c>
      <c r="M33" s="99">
        <f>'Anexo 3. Elemento de Despesas'!U32</f>
        <v>4000000</v>
      </c>
      <c r="N33" s="100">
        <f t="shared" si="1"/>
        <v>0</v>
      </c>
      <c r="O33" s="101">
        <f t="shared" si="2"/>
        <v>0</v>
      </c>
    </row>
    <row r="34" spans="1:15" s="18" customFormat="1" ht="65.25" customHeight="1" x14ac:dyDescent="0.25">
      <c r="A34" s="98" t="s">
        <v>453</v>
      </c>
      <c r="B34" s="208" t="s">
        <v>272</v>
      </c>
      <c r="C34" s="97" t="s">
        <v>457</v>
      </c>
      <c r="D34" s="98" t="s">
        <v>486</v>
      </c>
      <c r="E34" s="98" t="s">
        <v>515</v>
      </c>
      <c r="F34" s="98" t="s">
        <v>28</v>
      </c>
      <c r="G34" s="98" t="s">
        <v>103</v>
      </c>
      <c r="H34" s="98" t="s">
        <v>543</v>
      </c>
      <c r="I34" s="99">
        <v>919063.39</v>
      </c>
      <c r="J34" s="99">
        <v>250701.95</v>
      </c>
      <c r="K34" s="99">
        <f>924412.61-J34</f>
        <v>673710.65999999992</v>
      </c>
      <c r="L34" s="99">
        <f t="shared" si="0"/>
        <v>924412.60999999987</v>
      </c>
      <c r="M34" s="99"/>
      <c r="N34" s="100">
        <f t="shared" si="1"/>
        <v>5349.2199999998556</v>
      </c>
      <c r="O34" s="101">
        <f t="shared" si="2"/>
        <v>5.8202949417883523E-3</v>
      </c>
    </row>
    <row r="35" spans="1:15" s="18" customFormat="1" ht="169.5" customHeight="1" x14ac:dyDescent="0.25">
      <c r="A35" s="98" t="s">
        <v>454</v>
      </c>
      <c r="B35" s="208" t="s">
        <v>271</v>
      </c>
      <c r="C35" s="97" t="s">
        <v>457</v>
      </c>
      <c r="D35" s="98" t="s">
        <v>487</v>
      </c>
      <c r="E35" s="98" t="s">
        <v>516</v>
      </c>
      <c r="F35" s="98" t="s">
        <v>19</v>
      </c>
      <c r="G35" s="98" t="s">
        <v>97</v>
      </c>
      <c r="H35" s="98" t="s">
        <v>544</v>
      </c>
      <c r="I35" s="99">
        <v>30000</v>
      </c>
      <c r="J35" s="99">
        <v>0</v>
      </c>
      <c r="K35" s="99">
        <f>50000+80000</f>
        <v>130000</v>
      </c>
      <c r="L35" s="99">
        <f>J35+K35</f>
        <v>130000</v>
      </c>
      <c r="M35" s="99"/>
      <c r="N35" s="100">
        <f t="shared" si="1"/>
        <v>100000</v>
      </c>
      <c r="O35" s="101">
        <f t="shared" si="2"/>
        <v>3.3333333333333335</v>
      </c>
    </row>
    <row r="36" spans="1:15" s="18" customFormat="1" ht="146.25" customHeight="1" x14ac:dyDescent="0.25">
      <c r="A36" s="77" t="s">
        <v>546</v>
      </c>
      <c r="B36" s="97" t="s">
        <v>271</v>
      </c>
      <c r="C36" s="97" t="s">
        <v>458</v>
      </c>
      <c r="D36" s="98" t="s">
        <v>455</v>
      </c>
      <c r="E36" s="98" t="s">
        <v>548</v>
      </c>
      <c r="F36" s="98" t="s">
        <v>24</v>
      </c>
      <c r="G36" s="98" t="s">
        <v>96</v>
      </c>
      <c r="H36" s="98" t="s">
        <v>547</v>
      </c>
      <c r="I36" s="99">
        <v>0</v>
      </c>
      <c r="J36" s="99">
        <v>0</v>
      </c>
      <c r="K36" s="99">
        <v>6600</v>
      </c>
      <c r="L36" s="99">
        <f t="shared" si="0"/>
        <v>6600</v>
      </c>
      <c r="M36" s="99"/>
      <c r="N36" s="100">
        <f>L36-I36</f>
        <v>6600</v>
      </c>
      <c r="O36" s="101">
        <f t="shared" si="2"/>
        <v>0</v>
      </c>
    </row>
    <row r="37" spans="1:15" s="18" customFormat="1" x14ac:dyDescent="0.25">
      <c r="A37" s="322" t="s">
        <v>6</v>
      </c>
      <c r="B37" s="322"/>
      <c r="C37" s="322"/>
      <c r="D37" s="322"/>
      <c r="E37" s="322"/>
      <c r="F37" s="322"/>
      <c r="G37" s="322"/>
      <c r="H37" s="322"/>
      <c r="I37" s="104">
        <f>SUM(I7:I36)</f>
        <v>11717291.01</v>
      </c>
      <c r="J37" s="104">
        <f>SUM(J7:J36)</f>
        <v>1707383.66</v>
      </c>
      <c r="K37" s="104">
        <f>SUM(K7:K36)</f>
        <v>10422263.33</v>
      </c>
      <c r="L37" s="104">
        <f>SUM(L7:L36)</f>
        <v>12129646.989999998</v>
      </c>
      <c r="M37" s="104">
        <f>SUM(M7:M36)</f>
        <v>5440000</v>
      </c>
      <c r="N37" s="105">
        <f>L37-I37</f>
        <v>412355.97999999858</v>
      </c>
      <c r="O37" s="106">
        <f t="shared" ref="O37" si="3">IFERROR(N37/I37,)</f>
        <v>3.5192091725645261E-2</v>
      </c>
    </row>
    <row r="38" spans="1:15" s="18" customFormat="1" x14ac:dyDescent="0.25">
      <c r="A38" s="321" t="s">
        <v>375</v>
      </c>
      <c r="B38" s="321"/>
      <c r="C38" s="321"/>
      <c r="D38" s="321"/>
      <c r="E38" s="321"/>
      <c r="F38" s="321"/>
      <c r="G38" s="321"/>
      <c r="H38" s="321"/>
      <c r="I38" s="20"/>
      <c r="J38" s="20"/>
      <c r="K38" s="20"/>
      <c r="L38" s="20"/>
      <c r="M38" s="20"/>
      <c r="N38" s="20"/>
      <c r="O38" s="22"/>
    </row>
    <row r="39" spans="1:15" s="18" customFormat="1" hidden="1" x14ac:dyDescent="0.25">
      <c r="A39" s="318" t="s">
        <v>214</v>
      </c>
      <c r="B39" s="318"/>
      <c r="C39" s="319"/>
      <c r="D39" s="318"/>
      <c r="E39" s="318"/>
      <c r="F39" s="318"/>
      <c r="G39" s="318"/>
      <c r="H39" s="318"/>
      <c r="I39" s="318"/>
      <c r="J39" s="319"/>
      <c r="K39" s="319"/>
      <c r="L39" s="318"/>
      <c r="M39" s="319"/>
      <c r="N39" s="318"/>
      <c r="O39" s="318"/>
    </row>
    <row r="40" spans="1:15" s="18" customFormat="1" ht="120.75" hidden="1" customHeight="1" x14ac:dyDescent="0.25">
      <c r="A40" s="311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</row>
    <row r="41" spans="1:15" s="18" customFormat="1" hidden="1" x14ac:dyDescent="0.25">
      <c r="A41" s="317"/>
      <c r="B41" s="317"/>
      <c r="C41" s="317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</row>
  </sheetData>
  <sheetProtection formatCells="0" formatRows="0" insertRows="0" deleteRows="0"/>
  <mergeCells count="21">
    <mergeCell ref="A5:A6"/>
    <mergeCell ref="B5:B6"/>
    <mergeCell ref="D5:D6"/>
    <mergeCell ref="F5:F6"/>
    <mergeCell ref="E5:E6"/>
    <mergeCell ref="A1:O1"/>
    <mergeCell ref="A4:O4"/>
    <mergeCell ref="A41:O41"/>
    <mergeCell ref="A40:O40"/>
    <mergeCell ref="A39:O39"/>
    <mergeCell ref="I5:I6"/>
    <mergeCell ref="L5:L6"/>
    <mergeCell ref="G5:G6"/>
    <mergeCell ref="A38:H38"/>
    <mergeCell ref="A37:H37"/>
    <mergeCell ref="J5:K5"/>
    <mergeCell ref="M5:M6"/>
    <mergeCell ref="C5:C6"/>
    <mergeCell ref="H5:H6"/>
    <mergeCell ref="A2:O2"/>
    <mergeCell ref="N5:O5"/>
  </mergeCells>
  <phoneticPr fontId="6" type="noConversion"/>
  <conditionalFormatting sqref="I38:O38">
    <cfRule type="cellIs" dxfId="13" priority="8" operator="equal">
      <formula>TRUE</formula>
    </cfRule>
  </conditionalFormatting>
  <dataValidations disablePrompts="1" count="2">
    <dataValidation type="list" allowBlank="1" showInputMessage="1" showErrorMessage="1" sqref="C7:C36">
      <formula1>"AT, N, R,E,C "</formula1>
    </dataValidation>
    <dataValidation type="list" allowBlank="1" showInputMessage="1" showErrorMessage="1" sqref="B7:B36 G7:G36"/>
  </dataValidations>
  <pageMargins left="0.23622047244094491" right="0.23622047244094491" top="0.27" bottom="0.17" header="0.31496062992125984" footer="0.31496062992125984"/>
  <pageSetup paperSize="9" scale="3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'Validação de dados'!$D$18:$D$33</xm:f>
          </x14:formula1>
          <xm:sqref>F7:F36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  <pageSetUpPr fitToPage="1"/>
  </sheetPr>
  <dimension ref="A1:M56"/>
  <sheetViews>
    <sheetView showGridLines="0" zoomScale="80" zoomScaleNormal="80" zoomScaleSheetLayoutView="80" workbookViewId="0">
      <selection sqref="A1:I1"/>
    </sheetView>
  </sheetViews>
  <sheetFormatPr defaultColWidth="0" defaultRowHeight="15.75" zeroHeight="1" x14ac:dyDescent="0.25"/>
  <cols>
    <col min="1" max="1" width="47" style="11" customWidth="1"/>
    <col min="2" max="6" width="20.140625" style="11" customWidth="1"/>
    <col min="7" max="7" width="19.42578125" style="11" bestFit="1" customWidth="1"/>
    <col min="8" max="8" width="13.5703125" style="11" bestFit="1" customWidth="1"/>
    <col min="9" max="9" width="13.28515625" style="11" bestFit="1" customWidth="1"/>
    <col min="10" max="13" width="0" style="15" hidden="1" customWidth="1"/>
    <col min="14" max="16384" width="9.140625" style="15" hidden="1"/>
  </cols>
  <sheetData>
    <row r="1" spans="1:9" ht="22.5" customHeight="1" x14ac:dyDescent="0.25">
      <c r="A1" s="331" t="str">
        <f>'Indicadores e Metas'!A1:F1</f>
        <v>CAU/UF:  BA</v>
      </c>
      <c r="B1" s="332"/>
      <c r="C1" s="332"/>
      <c r="D1" s="332"/>
      <c r="E1" s="332"/>
      <c r="F1" s="332"/>
      <c r="G1" s="332"/>
      <c r="H1" s="332"/>
      <c r="I1" s="333"/>
    </row>
    <row r="2" spans="1:9" s="16" customFormat="1" ht="22.5" customHeight="1" x14ac:dyDescent="0.25">
      <c r="A2" s="331" t="s">
        <v>408</v>
      </c>
      <c r="B2" s="332"/>
      <c r="C2" s="332"/>
      <c r="D2" s="332"/>
      <c r="E2" s="332"/>
      <c r="F2" s="332"/>
      <c r="G2" s="332"/>
      <c r="H2" s="332"/>
      <c r="I2" s="333"/>
    </row>
    <row r="3" spans="1:9" s="16" customFormat="1" x14ac:dyDescent="0.25">
      <c r="A3" s="327"/>
      <c r="B3" s="327"/>
      <c r="C3" s="327"/>
      <c r="D3" s="327"/>
      <c r="E3" s="327"/>
      <c r="F3" s="327"/>
      <c r="G3" s="327"/>
      <c r="H3" s="12"/>
      <c r="I3" s="107"/>
    </row>
    <row r="4" spans="1:9" ht="25.5" customHeight="1" x14ac:dyDescent="0.25">
      <c r="A4" s="334" t="s">
        <v>7</v>
      </c>
      <c r="B4" s="335"/>
      <c r="C4" s="325" t="s">
        <v>550</v>
      </c>
      <c r="D4" s="351" t="s">
        <v>386</v>
      </c>
      <c r="E4" s="352"/>
      <c r="F4" s="353"/>
      <c r="G4" s="320" t="s">
        <v>3</v>
      </c>
      <c r="H4" s="320"/>
      <c r="I4" s="328" t="s">
        <v>553</v>
      </c>
    </row>
    <row r="5" spans="1:9" ht="25.5" customHeight="1" x14ac:dyDescent="0.25">
      <c r="A5" s="336"/>
      <c r="B5" s="337"/>
      <c r="C5" s="354"/>
      <c r="D5" s="325" t="s">
        <v>398</v>
      </c>
      <c r="E5" s="325" t="s">
        <v>399</v>
      </c>
      <c r="F5" s="325" t="s">
        <v>404</v>
      </c>
      <c r="G5" s="325" t="s">
        <v>551</v>
      </c>
      <c r="H5" s="328" t="s">
        <v>552</v>
      </c>
      <c r="I5" s="329"/>
    </row>
    <row r="6" spans="1:9" ht="25.5" customHeight="1" x14ac:dyDescent="0.25">
      <c r="A6" s="338" t="s">
        <v>359</v>
      </c>
      <c r="B6" s="339"/>
      <c r="C6" s="326"/>
      <c r="D6" s="326"/>
      <c r="E6" s="326"/>
      <c r="F6" s="326"/>
      <c r="G6" s="326"/>
      <c r="H6" s="330"/>
      <c r="I6" s="330"/>
    </row>
    <row r="7" spans="1:9" ht="24" customHeight="1" x14ac:dyDescent="0.25">
      <c r="A7" s="324" t="s">
        <v>8</v>
      </c>
      <c r="B7" s="324"/>
      <c r="C7" s="108">
        <f>C8+C18+C19+C20</f>
        <v>6277291.0099999998</v>
      </c>
      <c r="D7" s="108">
        <f t="shared" ref="D7:E7" si="0">D8+D18+D19+D20</f>
        <v>3537970.7199999997</v>
      </c>
      <c r="E7" s="108">
        <f t="shared" si="0"/>
        <v>3151676.2700000005</v>
      </c>
      <c r="F7" s="108">
        <f>D7+E7</f>
        <v>6689646.9900000002</v>
      </c>
      <c r="G7" s="108">
        <f>F7-C7</f>
        <v>412355.98000000045</v>
      </c>
      <c r="H7" s="109">
        <f>IFERROR(G7/C7,)</f>
        <v>6.5690116858227426E-2</v>
      </c>
      <c r="I7" s="110">
        <f>IFERROR(F7/$F$24,0)</f>
        <v>0.55151209227400622</v>
      </c>
    </row>
    <row r="8" spans="1:9" ht="24" customHeight="1" x14ac:dyDescent="0.25">
      <c r="A8" s="323" t="s">
        <v>75</v>
      </c>
      <c r="B8" s="323"/>
      <c r="C8" s="108">
        <f>C9+C16+C17</f>
        <v>5461135.4299999997</v>
      </c>
      <c r="D8" s="108">
        <f t="shared" ref="D8:E8" si="1">D9+D16+D17</f>
        <v>2959165.96</v>
      </c>
      <c r="E8" s="108">
        <f t="shared" si="1"/>
        <v>2896216.9800000004</v>
      </c>
      <c r="F8" s="108">
        <f t="shared" ref="F8:F23" si="2">D8+E8</f>
        <v>5855382.9400000004</v>
      </c>
      <c r="G8" s="108">
        <f t="shared" ref="G8:G23" si="3">F8-C8</f>
        <v>394247.51000000071</v>
      </c>
      <c r="H8" s="109">
        <f t="shared" ref="H8:H23" si="4">IFERROR(G8/C8,)</f>
        <v>7.2191491138318228E-2</v>
      </c>
      <c r="I8" s="110">
        <f t="shared" ref="I8:I23" si="5">IFERROR(F8/$F$24,0)</f>
        <v>0.48273316979688963</v>
      </c>
    </row>
    <row r="9" spans="1:9" ht="24" customHeight="1" x14ac:dyDescent="0.25">
      <c r="A9" s="323" t="s">
        <v>9</v>
      </c>
      <c r="B9" s="323"/>
      <c r="C9" s="108">
        <f>C10+C13</f>
        <v>2776217.84</v>
      </c>
      <c r="D9" s="108">
        <f t="shared" ref="D9:E9" si="6">D10+D13</f>
        <v>1731646.75</v>
      </c>
      <c r="E9" s="108">
        <f t="shared" si="6"/>
        <v>1155706.28</v>
      </c>
      <c r="F9" s="108">
        <f t="shared" si="2"/>
        <v>2887353.0300000003</v>
      </c>
      <c r="G9" s="108">
        <f t="shared" si="3"/>
        <v>111135.19000000041</v>
      </c>
      <c r="H9" s="109">
        <f t="shared" si="4"/>
        <v>4.0031148996578891E-2</v>
      </c>
      <c r="I9" s="110">
        <f t="shared" si="5"/>
        <v>0.23804097781084729</v>
      </c>
    </row>
    <row r="10" spans="1:9" ht="24" customHeight="1" x14ac:dyDescent="0.25">
      <c r="A10" s="323" t="s">
        <v>10</v>
      </c>
      <c r="B10" s="323"/>
      <c r="C10" s="108">
        <f>SUM(C11:C12)</f>
        <v>2540486.56</v>
      </c>
      <c r="D10" s="108">
        <f t="shared" ref="D10:E10" si="7">SUM(D11:D12)</f>
        <v>1641856.06</v>
      </c>
      <c r="E10" s="108">
        <f t="shared" si="7"/>
        <v>996179.10000000009</v>
      </c>
      <c r="F10" s="108">
        <f t="shared" si="2"/>
        <v>2638035.16</v>
      </c>
      <c r="G10" s="108">
        <f t="shared" si="3"/>
        <v>97548.600000000093</v>
      </c>
      <c r="H10" s="109">
        <f t="shared" si="4"/>
        <v>3.8397605220946374E-2</v>
      </c>
      <c r="I10" s="110">
        <f t="shared" si="5"/>
        <v>0.21748655687794263</v>
      </c>
    </row>
    <row r="11" spans="1:9" ht="24" customHeight="1" x14ac:dyDescent="0.25">
      <c r="A11" s="340" t="s">
        <v>365</v>
      </c>
      <c r="B11" s="340"/>
      <c r="C11" s="209">
        <v>2072430.36</v>
      </c>
      <c r="D11" s="111">
        <v>1279577.43</v>
      </c>
      <c r="E11" s="111">
        <v>828510.29</v>
      </c>
      <c r="F11" s="112">
        <f t="shared" si="2"/>
        <v>2108087.7199999997</v>
      </c>
      <c r="G11" s="108">
        <f t="shared" si="3"/>
        <v>35657.359999999637</v>
      </c>
      <c r="H11" s="109">
        <f t="shared" si="4"/>
        <v>1.7205576934319587E-2</v>
      </c>
      <c r="I11" s="110">
        <f t="shared" si="5"/>
        <v>0.17379629611133474</v>
      </c>
    </row>
    <row r="12" spans="1:9" ht="24" customHeight="1" x14ac:dyDescent="0.25">
      <c r="A12" s="340" t="s">
        <v>73</v>
      </c>
      <c r="B12" s="340"/>
      <c r="C12" s="209">
        <v>468056.2</v>
      </c>
      <c r="D12" s="111">
        <f>274745.44+79003.98+8529.21</f>
        <v>362278.63</v>
      </c>
      <c r="E12" s="111">
        <v>167668.81</v>
      </c>
      <c r="F12" s="112">
        <f t="shared" si="2"/>
        <v>529947.43999999994</v>
      </c>
      <c r="G12" s="108">
        <f t="shared" si="3"/>
        <v>61891.239999999932</v>
      </c>
      <c r="H12" s="109">
        <f t="shared" si="4"/>
        <v>0.13223036037125441</v>
      </c>
      <c r="I12" s="110">
        <f t="shared" si="5"/>
        <v>4.3690260766607848E-2</v>
      </c>
    </row>
    <row r="13" spans="1:9" ht="24" customHeight="1" x14ac:dyDescent="0.25">
      <c r="A13" s="323" t="s">
        <v>11</v>
      </c>
      <c r="B13" s="323"/>
      <c r="C13" s="108">
        <f>SUM(C14:C15)</f>
        <v>235731.28</v>
      </c>
      <c r="D13" s="108">
        <f t="shared" ref="D13:E13" si="8">SUM(D14:D15)</f>
        <v>89790.69</v>
      </c>
      <c r="E13" s="108">
        <f t="shared" si="8"/>
        <v>159527.18</v>
      </c>
      <c r="F13" s="108">
        <f t="shared" si="2"/>
        <v>249317.87</v>
      </c>
      <c r="G13" s="108">
        <f t="shared" si="3"/>
        <v>13586.589999999997</v>
      </c>
      <c r="H13" s="109">
        <f t="shared" si="4"/>
        <v>5.7635923412455048E-2</v>
      </c>
      <c r="I13" s="110">
        <f t="shared" si="5"/>
        <v>2.0554420932904664E-2</v>
      </c>
    </row>
    <row r="14" spans="1:9" ht="24" customHeight="1" x14ac:dyDescent="0.25">
      <c r="A14" s="340" t="s">
        <v>366</v>
      </c>
      <c r="B14" s="340"/>
      <c r="C14" s="111">
        <v>123973.51</v>
      </c>
      <c r="D14" s="111">
        <v>39061.019999999997</v>
      </c>
      <c r="E14" s="111">
        <v>85957.25</v>
      </c>
      <c r="F14" s="112">
        <f t="shared" si="2"/>
        <v>125018.26999999999</v>
      </c>
      <c r="G14" s="108">
        <f t="shared" si="3"/>
        <v>1044.7599999999948</v>
      </c>
      <c r="H14" s="109">
        <f t="shared" si="4"/>
        <v>8.4272841835323926E-3</v>
      </c>
      <c r="I14" s="110">
        <f t="shared" si="5"/>
        <v>1.0306834988938125E-2</v>
      </c>
    </row>
    <row r="15" spans="1:9" ht="24" customHeight="1" x14ac:dyDescent="0.25">
      <c r="A15" s="340" t="s">
        <v>74</v>
      </c>
      <c r="B15" s="340"/>
      <c r="C15" s="111">
        <v>111757.77</v>
      </c>
      <c r="D15" s="111">
        <f>38869.18+10375.41+1485.08</f>
        <v>50729.67</v>
      </c>
      <c r="E15" s="111">
        <v>73569.929999999993</v>
      </c>
      <c r="F15" s="112">
        <f t="shared" si="2"/>
        <v>124299.59999999999</v>
      </c>
      <c r="G15" s="108">
        <f t="shared" si="3"/>
        <v>12541.829999999987</v>
      </c>
      <c r="H15" s="109">
        <f t="shared" si="4"/>
        <v>0.11222333802830879</v>
      </c>
      <c r="I15" s="110">
        <f t="shared" si="5"/>
        <v>1.0247585943966537E-2</v>
      </c>
    </row>
    <row r="16" spans="1:9" ht="24" customHeight="1" x14ac:dyDescent="0.25">
      <c r="A16" s="341" t="s">
        <v>65</v>
      </c>
      <c r="B16" s="341"/>
      <c r="C16" s="209">
        <v>2434995.29</v>
      </c>
      <c r="D16" s="111">
        <v>1086143.8500000001</v>
      </c>
      <c r="E16" s="111">
        <v>1561256.04</v>
      </c>
      <c r="F16" s="112">
        <f t="shared" si="2"/>
        <v>2647399.89</v>
      </c>
      <c r="G16" s="108">
        <f t="shared" si="3"/>
        <v>212404.60000000009</v>
      </c>
      <c r="H16" s="109">
        <f t="shared" si="4"/>
        <v>8.7229983923295423E-2</v>
      </c>
      <c r="I16" s="110">
        <f t="shared" si="5"/>
        <v>0.21825860984928799</v>
      </c>
    </row>
    <row r="17" spans="1:9" ht="24" customHeight="1" x14ac:dyDescent="0.25">
      <c r="A17" s="341" t="s">
        <v>151</v>
      </c>
      <c r="B17" s="341"/>
      <c r="C17" s="209">
        <v>249922.3</v>
      </c>
      <c r="D17" s="111">
        <f>95547+40565.53+5262.83</f>
        <v>141375.35999999999</v>
      </c>
      <c r="E17" s="111">
        <v>179254.66</v>
      </c>
      <c r="F17" s="112">
        <f t="shared" si="2"/>
        <v>320630.02</v>
      </c>
      <c r="G17" s="108">
        <f t="shared" si="3"/>
        <v>70707.72000000003</v>
      </c>
      <c r="H17" s="109">
        <f t="shared" si="4"/>
        <v>0.28291881116651069</v>
      </c>
      <c r="I17" s="110">
        <f t="shared" si="5"/>
        <v>2.6433582136754341E-2</v>
      </c>
    </row>
    <row r="18" spans="1:9" ht="24" customHeight="1" x14ac:dyDescent="0.25">
      <c r="A18" s="341" t="s">
        <v>12</v>
      </c>
      <c r="B18" s="341"/>
      <c r="C18" s="209">
        <v>800000</v>
      </c>
      <c r="D18" s="111">
        <v>554540.71</v>
      </c>
      <c r="E18" s="111">
        <v>245459.29</v>
      </c>
      <c r="F18" s="112">
        <f t="shared" si="2"/>
        <v>800000</v>
      </c>
      <c r="G18" s="108">
        <f t="shared" si="3"/>
        <v>0</v>
      </c>
      <c r="H18" s="109">
        <f t="shared" si="4"/>
        <v>0</v>
      </c>
      <c r="I18" s="110">
        <f t="shared" si="5"/>
        <v>6.5954104077352055E-2</v>
      </c>
    </row>
    <row r="19" spans="1:9" ht="24" customHeight="1" x14ac:dyDescent="0.25">
      <c r="A19" s="341" t="s">
        <v>137</v>
      </c>
      <c r="B19" s="341"/>
      <c r="C19" s="209">
        <v>16155.58</v>
      </c>
      <c r="D19" s="111">
        <v>24264.05</v>
      </c>
      <c r="E19" s="111">
        <v>10000</v>
      </c>
      <c r="F19" s="112">
        <f t="shared" si="2"/>
        <v>34264.050000000003</v>
      </c>
      <c r="G19" s="108">
        <f t="shared" si="3"/>
        <v>18108.47</v>
      </c>
      <c r="H19" s="109">
        <f t="shared" si="4"/>
        <v>1.1208802159996734</v>
      </c>
      <c r="I19" s="110">
        <f t="shared" si="5"/>
        <v>2.8248183997644939E-3</v>
      </c>
    </row>
    <row r="20" spans="1:9" ht="24" customHeight="1" x14ac:dyDescent="0.25">
      <c r="A20" s="341" t="s">
        <v>13</v>
      </c>
      <c r="B20" s="341"/>
      <c r="C20" s="111"/>
      <c r="D20" s="111"/>
      <c r="E20" s="111"/>
      <c r="F20" s="112">
        <f t="shared" si="2"/>
        <v>0</v>
      </c>
      <c r="G20" s="108">
        <f t="shared" si="3"/>
        <v>0</v>
      </c>
      <c r="H20" s="109">
        <f t="shared" si="4"/>
        <v>0</v>
      </c>
      <c r="I20" s="110">
        <f t="shared" si="5"/>
        <v>0</v>
      </c>
    </row>
    <row r="21" spans="1:9" ht="24" customHeight="1" x14ac:dyDescent="0.25">
      <c r="A21" s="316" t="s">
        <v>278</v>
      </c>
      <c r="B21" s="316"/>
      <c r="C21" s="117">
        <f>SUM(C22:C23)</f>
        <v>5440000</v>
      </c>
      <c r="D21" s="117">
        <f t="shared" ref="D21:E21" si="9">SUM(D22:D23)</f>
        <v>0</v>
      </c>
      <c r="E21" s="117">
        <f t="shared" si="9"/>
        <v>5440000</v>
      </c>
      <c r="F21" s="117">
        <f t="shared" si="2"/>
        <v>5440000</v>
      </c>
      <c r="G21" s="117">
        <f t="shared" si="3"/>
        <v>0</v>
      </c>
      <c r="H21" s="106">
        <f t="shared" si="4"/>
        <v>0</v>
      </c>
      <c r="I21" s="118">
        <f t="shared" si="5"/>
        <v>0.44848790772599401</v>
      </c>
    </row>
    <row r="22" spans="1:9" ht="24" customHeight="1" x14ac:dyDescent="0.25">
      <c r="A22" s="341" t="s">
        <v>14</v>
      </c>
      <c r="B22" s="341"/>
      <c r="C22" s="111">
        <v>5440000</v>
      </c>
      <c r="D22" s="111">
        <v>0</v>
      </c>
      <c r="E22" s="111">
        <v>5440000</v>
      </c>
      <c r="F22" s="112">
        <f t="shared" si="2"/>
        <v>5440000</v>
      </c>
      <c r="G22" s="108">
        <f t="shared" si="3"/>
        <v>0</v>
      </c>
      <c r="H22" s="109">
        <f t="shared" si="4"/>
        <v>0</v>
      </c>
      <c r="I22" s="110">
        <f t="shared" si="5"/>
        <v>0.44848790772599401</v>
      </c>
    </row>
    <row r="23" spans="1:9" ht="24" customHeight="1" x14ac:dyDescent="0.25">
      <c r="A23" s="341" t="s">
        <v>136</v>
      </c>
      <c r="B23" s="341"/>
      <c r="C23" s="111">
        <v>0</v>
      </c>
      <c r="D23" s="111">
        <v>0</v>
      </c>
      <c r="E23" s="111">
        <v>0</v>
      </c>
      <c r="F23" s="112">
        <f t="shared" si="2"/>
        <v>0</v>
      </c>
      <c r="G23" s="108">
        <f t="shared" si="3"/>
        <v>0</v>
      </c>
      <c r="H23" s="109">
        <f t="shared" si="4"/>
        <v>0</v>
      </c>
      <c r="I23" s="110">
        <f t="shared" si="5"/>
        <v>0</v>
      </c>
    </row>
    <row r="24" spans="1:9" ht="24" customHeight="1" x14ac:dyDescent="0.25">
      <c r="A24" s="316" t="s">
        <v>15</v>
      </c>
      <c r="B24" s="316"/>
      <c r="C24" s="117">
        <f>SUM(C7,C21)</f>
        <v>11717291.01</v>
      </c>
      <c r="D24" s="117">
        <f t="shared" ref="D24:E24" si="10">SUM(D7,D21)</f>
        <v>3537970.7199999997</v>
      </c>
      <c r="E24" s="117">
        <f t="shared" si="10"/>
        <v>8591676.2699999996</v>
      </c>
      <c r="F24" s="117">
        <f t="shared" ref="F24:F33" si="11">D24+E24</f>
        <v>12129646.989999998</v>
      </c>
      <c r="G24" s="117">
        <f t="shared" ref="G24" si="12">F24-C24</f>
        <v>412355.97999999858</v>
      </c>
      <c r="H24" s="106">
        <f t="shared" ref="H24" si="13">IFERROR(G24/C24,)</f>
        <v>3.5192091725645261E-2</v>
      </c>
      <c r="I24" s="118">
        <f t="shared" ref="I24" si="14">IFERROR(F24/$F$24,0)</f>
        <v>1</v>
      </c>
    </row>
    <row r="25" spans="1:9" ht="24" customHeight="1" x14ac:dyDescent="0.25">
      <c r="A25" s="338" t="s">
        <v>360</v>
      </c>
      <c r="B25" s="342"/>
      <c r="C25" s="342"/>
      <c r="D25" s="342"/>
      <c r="E25" s="342"/>
      <c r="F25" s="342"/>
      <c r="G25" s="342"/>
      <c r="H25" s="342"/>
      <c r="I25" s="339"/>
    </row>
    <row r="26" spans="1:9" ht="24" customHeight="1" x14ac:dyDescent="0.25">
      <c r="A26" s="323" t="s">
        <v>403</v>
      </c>
      <c r="B26" s="323"/>
      <c r="C26" s="108">
        <f>SUM(C27:C29)</f>
        <v>11084756.629999999</v>
      </c>
      <c r="D26" s="113">
        <f>SUM(D27:D29)</f>
        <v>1460910.9600000002</v>
      </c>
      <c r="E26" s="113">
        <f>SUM(E27:E29)</f>
        <v>10002968.58</v>
      </c>
      <c r="F26" s="113">
        <f t="shared" si="11"/>
        <v>11463879.540000001</v>
      </c>
      <c r="G26" s="108">
        <f t="shared" ref="G26" si="15">F26-C26</f>
        <v>379122.91000000201</v>
      </c>
      <c r="H26" s="109">
        <f t="shared" ref="H26" si="16">IFERROR(G26/C26,)</f>
        <v>3.4202186178263622E-2</v>
      </c>
      <c r="I26" s="109">
        <f>IFERROR(F26/$F$33,0)</f>
        <v>0.94511238038923329</v>
      </c>
    </row>
    <row r="27" spans="1:9" ht="24" customHeight="1" x14ac:dyDescent="0.25">
      <c r="A27" s="323" t="s">
        <v>279</v>
      </c>
      <c r="B27" s="323"/>
      <c r="C27" s="114">
        <f>SUMIF('Quadro Geral'!$B$7:$B$36,"p",'Quadro Geral'!$I$7:$I$36)+SUMIF('Quadro Geral'!$B$7:$B$36,"p.",'Quadro Geral'!$I$7:$I$36)</f>
        <v>5940000</v>
      </c>
      <c r="D27" s="115">
        <f>SUMIF('Quadro Geral'!B:B,"p",'Quadro Geral'!J:J)+SUMIF('Quadro Geral'!B:B,"p.",'Quadro Geral'!J:J)</f>
        <v>34500.61</v>
      </c>
      <c r="E27" s="115">
        <f>SUMIF('Quadro Geral'!B:B,"p",'Quadro Geral'!K:K)</f>
        <v>6062099.3900000006</v>
      </c>
      <c r="F27" s="115">
        <f t="shared" si="11"/>
        <v>6096600.0000000009</v>
      </c>
      <c r="G27" s="108">
        <f t="shared" ref="G27:G33" si="17">F27-C27</f>
        <v>156600.00000000093</v>
      </c>
      <c r="H27" s="109">
        <f t="shared" ref="H27:H33" si="18">IFERROR(G27/C27,)</f>
        <v>2.636363636363652E-2</v>
      </c>
      <c r="I27" s="109">
        <f t="shared" ref="I27:I33" si="19">IFERROR(F27/$F$33,0)</f>
        <v>0.50261973864748066</v>
      </c>
    </row>
    <row r="28" spans="1:9" ht="24" customHeight="1" x14ac:dyDescent="0.25">
      <c r="A28" s="343" t="s">
        <v>372</v>
      </c>
      <c r="B28" s="344"/>
      <c r="C28" s="114">
        <f>SUMIF('Quadro Geral'!$B$7:$B$36,"pe",'Quadro Geral'!$I$7:$I$36)+SUMIF('Quadro Geral'!$B$7:$B$36,"pe.",'Quadro Geral'!$I$7:$I$36)</f>
        <v>0</v>
      </c>
      <c r="D28" s="115">
        <f>SUMIF('Quadro Geral'!B:B,"pe",'Quadro Geral'!J:J)+SUMIF('Quadro Geral'!B:B,"pe.",'Quadro Geral'!J:J)</f>
        <v>0</v>
      </c>
      <c r="E28" s="115">
        <f>SUMIF('Quadro Geral'!B:B,"pe",'Quadro Geral'!K:K)</f>
        <v>0</v>
      </c>
      <c r="F28" s="115">
        <f t="shared" si="11"/>
        <v>0</v>
      </c>
      <c r="G28" s="108">
        <f t="shared" si="17"/>
        <v>0</v>
      </c>
      <c r="H28" s="109">
        <f t="shared" si="18"/>
        <v>0</v>
      </c>
      <c r="I28" s="109">
        <f t="shared" si="19"/>
        <v>0</v>
      </c>
    </row>
    <row r="29" spans="1:9" ht="24" customHeight="1" x14ac:dyDescent="0.25">
      <c r="A29" s="323" t="s">
        <v>280</v>
      </c>
      <c r="B29" s="323"/>
      <c r="C29" s="114">
        <f>SUMIF('Quadro Geral'!$B$7:$B$36,"a",'Quadro Geral'!$I$7:$I$36)+SUMIF('Quadro Geral'!$B$7:$B$36,"a.",'Quadro Geral'!$I$7:$I$36)-C30-C31-C32</f>
        <v>5144756.63</v>
      </c>
      <c r="D29" s="115">
        <f>SUMIF('Quadro Geral'!B:B,"a",'Quadro Geral'!J:J)+SUMIF('Quadro Geral'!B:B,"a.",'Quadro Geral'!J:J)-D30-D31-D32</f>
        <v>1426410.35</v>
      </c>
      <c r="E29" s="115">
        <f>SUMIF('Quadro Geral'!B:B,"a",'Quadro Geral'!K:K)-E30-E31-E32</f>
        <v>3940869.1899999995</v>
      </c>
      <c r="F29" s="115">
        <f t="shared" si="11"/>
        <v>5367279.5399999991</v>
      </c>
      <c r="G29" s="108">
        <f t="shared" si="17"/>
        <v>222522.90999999922</v>
      </c>
      <c r="H29" s="109">
        <f t="shared" si="18"/>
        <v>4.3252368577053418E-2</v>
      </c>
      <c r="I29" s="109">
        <f t="shared" si="19"/>
        <v>0.44249264174175262</v>
      </c>
    </row>
    <row r="30" spans="1:9" ht="24" customHeight="1" x14ac:dyDescent="0.25">
      <c r="A30" s="341" t="s">
        <v>281</v>
      </c>
      <c r="B30" s="341"/>
      <c r="C30" s="209">
        <f>'Quadro Geral'!I22</f>
        <v>101574.18</v>
      </c>
      <c r="D30" s="209">
        <f>'Quadro Geral'!J22</f>
        <v>42322.6</v>
      </c>
      <c r="E30" s="209">
        <f>'Quadro Geral'!K22</f>
        <v>65624.709999999992</v>
      </c>
      <c r="F30" s="115">
        <f t="shared" si="11"/>
        <v>107947.31</v>
      </c>
      <c r="G30" s="108">
        <f t="shared" si="17"/>
        <v>6373.1300000000047</v>
      </c>
      <c r="H30" s="109">
        <f t="shared" si="18"/>
        <v>6.2743602754164546E-2</v>
      </c>
      <c r="I30" s="109">
        <f t="shared" si="19"/>
        <v>8.8994601482627299E-3</v>
      </c>
    </row>
    <row r="31" spans="1:9" ht="24" customHeight="1" x14ac:dyDescent="0.25">
      <c r="A31" s="341" t="s">
        <v>282</v>
      </c>
      <c r="B31" s="341"/>
      <c r="C31" s="209">
        <f>'Quadro Geral'!I29+'Quadro Geral'!I30</f>
        <v>489960.19999999995</v>
      </c>
      <c r="D31" s="209">
        <f>'Quadro Geral'!J29+'Quadro Geral'!J30</f>
        <v>204150.09999999998</v>
      </c>
      <c r="E31" s="209">
        <f>'Quadro Geral'!K29+'Quadro Geral'!K30</f>
        <v>312670.04000000004</v>
      </c>
      <c r="F31" s="115">
        <f t="shared" si="11"/>
        <v>516820.14</v>
      </c>
      <c r="G31" s="108">
        <f t="shared" si="17"/>
        <v>26859.940000000061</v>
      </c>
      <c r="H31" s="109">
        <f t="shared" si="18"/>
        <v>5.4820656861516638E-2</v>
      </c>
      <c r="I31" s="109">
        <f t="shared" si="19"/>
        <v>4.2608011628539562E-2</v>
      </c>
    </row>
    <row r="32" spans="1:9" ht="24" customHeight="1" x14ac:dyDescent="0.25">
      <c r="A32" s="341" t="s">
        <v>283</v>
      </c>
      <c r="B32" s="341"/>
      <c r="C32" s="111">
        <f>'Quadro Geral'!I32</f>
        <v>41000</v>
      </c>
      <c r="D32" s="111">
        <f>'Quadro Geral'!J32</f>
        <v>0</v>
      </c>
      <c r="E32" s="111">
        <f>'Quadro Geral'!K32</f>
        <v>41000</v>
      </c>
      <c r="F32" s="115">
        <f t="shared" si="11"/>
        <v>41000</v>
      </c>
      <c r="G32" s="108">
        <f t="shared" si="17"/>
        <v>0</v>
      </c>
      <c r="H32" s="109">
        <f t="shared" si="18"/>
        <v>0</v>
      </c>
      <c r="I32" s="109">
        <f t="shared" si="19"/>
        <v>3.3801478339642917E-3</v>
      </c>
    </row>
    <row r="33" spans="1:9" s="120" customFormat="1" ht="24" customHeight="1" x14ac:dyDescent="0.25">
      <c r="A33" s="316" t="s">
        <v>16</v>
      </c>
      <c r="B33" s="316"/>
      <c r="C33" s="119">
        <f>SUM(C26,C30:C32)</f>
        <v>11717291.009999998</v>
      </c>
      <c r="D33" s="119">
        <f>SUM(D26,D30:D32)</f>
        <v>1707383.6600000001</v>
      </c>
      <c r="E33" s="119">
        <f>SUM(E26,E30:E32)</f>
        <v>10422263.330000002</v>
      </c>
      <c r="F33" s="119">
        <f t="shared" si="11"/>
        <v>12129646.990000002</v>
      </c>
      <c r="G33" s="119">
        <f t="shared" si="17"/>
        <v>412355.98000000417</v>
      </c>
      <c r="H33" s="106">
        <f t="shared" si="18"/>
        <v>3.519209172564574E-2</v>
      </c>
      <c r="I33" s="106">
        <f t="shared" si="19"/>
        <v>1</v>
      </c>
    </row>
    <row r="34" spans="1:9" ht="24" customHeight="1" x14ac:dyDescent="0.25">
      <c r="A34" s="323" t="s">
        <v>17</v>
      </c>
      <c r="B34" s="323"/>
      <c r="C34" s="116">
        <f>C24-C33</f>
        <v>0</v>
      </c>
      <c r="D34" s="116">
        <f t="shared" ref="D34:G34" si="20">D24-D33</f>
        <v>1830587.0599999996</v>
      </c>
      <c r="E34" s="116">
        <f t="shared" si="20"/>
        <v>-1830587.0600000024</v>
      </c>
      <c r="F34" s="116">
        <f t="shared" si="20"/>
        <v>0</v>
      </c>
      <c r="G34" s="116">
        <f t="shared" si="20"/>
        <v>-5.5879354476928711E-9</v>
      </c>
      <c r="H34" s="139"/>
      <c r="I34" s="14"/>
    </row>
    <row r="35" spans="1:9" x14ac:dyDescent="0.25">
      <c r="A35" s="13"/>
      <c r="B35" s="13"/>
      <c r="C35" s="19" t="b">
        <f>C33='Quadro Geral'!I37</f>
        <v>1</v>
      </c>
      <c r="D35" s="19" t="b">
        <f>D33='Quadro Geral'!J37</f>
        <v>1</v>
      </c>
      <c r="E35" s="19" t="b">
        <f>E33='Quadro Geral'!K37</f>
        <v>1</v>
      </c>
      <c r="F35" s="19" t="b">
        <f>F33='Quadro Geral'!L37</f>
        <v>1</v>
      </c>
      <c r="G35" s="139"/>
      <c r="H35" s="139"/>
      <c r="I35" s="14"/>
    </row>
    <row r="36" spans="1:9" x14ac:dyDescent="0.25">
      <c r="A36" s="348" t="s">
        <v>405</v>
      </c>
      <c r="B36" s="345" t="s">
        <v>367</v>
      </c>
      <c r="C36" s="346"/>
      <c r="D36" s="347"/>
      <c r="E36" s="345" t="s">
        <v>368</v>
      </c>
      <c r="F36" s="346"/>
      <c r="G36" s="346"/>
    </row>
    <row r="37" spans="1:9" ht="31.5" x14ac:dyDescent="0.25">
      <c r="A37" s="348"/>
      <c r="B37" s="121" t="s">
        <v>400</v>
      </c>
      <c r="C37" s="121" t="s">
        <v>401</v>
      </c>
      <c r="D37" s="121" t="s">
        <v>150</v>
      </c>
      <c r="E37" s="121" t="s">
        <v>400</v>
      </c>
      <c r="F37" s="121" t="s">
        <v>401</v>
      </c>
      <c r="G37" s="121" t="s">
        <v>150</v>
      </c>
    </row>
    <row r="38" spans="1:9" x14ac:dyDescent="0.25">
      <c r="A38" s="122" t="s">
        <v>68</v>
      </c>
      <c r="B38" s="108">
        <f>C7</f>
        <v>6277291.0099999998</v>
      </c>
      <c r="C38" s="108">
        <f>F7</f>
        <v>6689646.9900000002</v>
      </c>
      <c r="D38" s="109">
        <f>IFERROR(C38/B38-1,)</f>
        <v>6.5690116858227343E-2</v>
      </c>
      <c r="E38" s="123">
        <v>6277291.0099999988</v>
      </c>
      <c r="F38" s="108">
        <f>'Anexo 3. Elemento de Despesas'!T36</f>
        <v>6689646.9900000002</v>
      </c>
      <c r="G38" s="109">
        <f>IFERROR(F38/E38-1,)</f>
        <v>6.5690116858227565E-2</v>
      </c>
    </row>
    <row r="39" spans="1:9" x14ac:dyDescent="0.25">
      <c r="A39" s="122" t="s">
        <v>69</v>
      </c>
      <c r="B39" s="108">
        <f>C21</f>
        <v>5440000</v>
      </c>
      <c r="C39" s="108">
        <f>F21</f>
        <v>5440000</v>
      </c>
      <c r="D39" s="109">
        <f>IFERROR(C39/B39-1,)</f>
        <v>0</v>
      </c>
      <c r="E39" s="123">
        <v>5440000</v>
      </c>
      <c r="F39" s="108">
        <f>'Anexo 3. Elemento de Despesas'!U36</f>
        <v>5440000</v>
      </c>
      <c r="G39" s="109">
        <f t="shared" ref="G39:G40" si="21">IFERROR(F39/E39-1,)</f>
        <v>0</v>
      </c>
    </row>
    <row r="40" spans="1:9" x14ac:dyDescent="0.25">
      <c r="A40" s="124" t="s">
        <v>0</v>
      </c>
      <c r="B40" s="125">
        <f>SUM(B38:B39)</f>
        <v>11717291.01</v>
      </c>
      <c r="C40" s="125">
        <f>SUM(C38:C39)</f>
        <v>12129646.99</v>
      </c>
      <c r="D40" s="126">
        <f>IFERROR(C40/B40-1,)</f>
        <v>3.5192091725645414E-2</v>
      </c>
      <c r="E40" s="125">
        <f>SUM(E38:E39)</f>
        <v>11717291.009999998</v>
      </c>
      <c r="F40" s="125">
        <f>SUM(F38:F39)</f>
        <v>12129646.99</v>
      </c>
      <c r="G40" s="126">
        <f t="shared" si="21"/>
        <v>3.5192091725645636E-2</v>
      </c>
    </row>
    <row r="41" spans="1:9" x14ac:dyDescent="0.25">
      <c r="A41" s="349"/>
      <c r="B41" s="350"/>
      <c r="C41" s="350"/>
      <c r="D41" s="350"/>
      <c r="E41" s="350"/>
      <c r="F41" s="350"/>
      <c r="G41" s="350"/>
      <c r="H41" s="350"/>
      <c r="I41" s="350"/>
    </row>
    <row r="42" spans="1:9" ht="31.5" x14ac:dyDescent="0.25">
      <c r="A42" s="121" t="s">
        <v>7</v>
      </c>
      <c r="B42" s="121" t="s">
        <v>215</v>
      </c>
      <c r="C42" s="121" t="s">
        <v>216</v>
      </c>
      <c r="D42" s="121" t="s">
        <v>217</v>
      </c>
    </row>
    <row r="43" spans="1:9" x14ac:dyDescent="0.25">
      <c r="A43" s="130" t="s">
        <v>106</v>
      </c>
      <c r="B43" s="127">
        <f>F7</f>
        <v>6689646.9900000002</v>
      </c>
      <c r="C43" s="127">
        <f>F21</f>
        <v>5440000</v>
      </c>
      <c r="D43" s="127">
        <f>SUM(B43:C43)</f>
        <v>12129646.99</v>
      </c>
    </row>
    <row r="44" spans="1:9" x14ac:dyDescent="0.25">
      <c r="A44" s="130" t="s">
        <v>107</v>
      </c>
      <c r="B44" s="127">
        <f>'Anexo 3. Elemento de Despesas'!T36</f>
        <v>6689646.9900000002</v>
      </c>
      <c r="C44" s="127">
        <f>'Anexo 3. Elemento de Despesas'!U36</f>
        <v>5440000</v>
      </c>
      <c r="D44" s="127">
        <f>SUM(B44:C44)</f>
        <v>12129646.99</v>
      </c>
    </row>
    <row r="45" spans="1:9" x14ac:dyDescent="0.25">
      <c r="A45" s="131" t="s">
        <v>17</v>
      </c>
      <c r="B45" s="132">
        <f>B43-B44</f>
        <v>0</v>
      </c>
      <c r="C45" s="132">
        <f t="shared" ref="C45" si="22">C43-C44</f>
        <v>0</v>
      </c>
      <c r="D45" s="132">
        <f>D43-D44</f>
        <v>0</v>
      </c>
    </row>
    <row r="46" spans="1:9" x14ac:dyDescent="0.25"/>
    <row r="47" spans="1:9" ht="18" customHeight="1" x14ac:dyDescent="0.25">
      <c r="A47" s="121" t="s">
        <v>373</v>
      </c>
      <c r="B47" s="121" t="s">
        <v>277</v>
      </c>
    </row>
    <row r="48" spans="1:9" x14ac:dyDescent="0.25">
      <c r="A48" s="121" t="s">
        <v>402</v>
      </c>
      <c r="B48" s="127">
        <f>'Diretrizes - Resumo'!AL8</f>
        <v>13760869.380000001</v>
      </c>
      <c r="C48" s="128"/>
      <c r="D48" s="128"/>
      <c r="E48" s="128"/>
    </row>
    <row r="49" spans="1:9" x14ac:dyDescent="0.25">
      <c r="A49" s="121" t="s">
        <v>269</v>
      </c>
      <c r="B49" s="127">
        <f>C44</f>
        <v>5440000</v>
      </c>
    </row>
    <row r="50" spans="1:9" x14ac:dyDescent="0.25">
      <c r="A50" s="121" t="s">
        <v>363</v>
      </c>
      <c r="B50" s="129">
        <f>IFERROR(B49/B48,)</f>
        <v>0.39532385998129427</v>
      </c>
    </row>
    <row r="51" spans="1:9" x14ac:dyDescent="0.25">
      <c r="A51" s="121" t="s">
        <v>374</v>
      </c>
      <c r="B51" s="127">
        <f>F28</f>
        <v>0</v>
      </c>
    </row>
    <row r="52" spans="1:9" x14ac:dyDescent="0.25">
      <c r="A52" s="121" t="s">
        <v>364</v>
      </c>
      <c r="B52" s="129">
        <f>IFERROR(B51/B48,)</f>
        <v>0</v>
      </c>
    </row>
    <row r="53" spans="1:9" x14ac:dyDescent="0.25">
      <c r="A53" s="121" t="s">
        <v>270</v>
      </c>
      <c r="B53" s="127">
        <f>B48-B49-B51</f>
        <v>8320869.3800000008</v>
      </c>
    </row>
    <row r="54" spans="1:9" hidden="1" x14ac:dyDescent="0.25">
      <c r="A54" s="15"/>
      <c r="B54" s="15"/>
    </row>
    <row r="55" spans="1:9" hidden="1" x14ac:dyDescent="0.25">
      <c r="A55" s="308" t="s">
        <v>214</v>
      </c>
      <c r="B55" s="309"/>
      <c r="C55" s="309"/>
      <c r="D55" s="309"/>
      <c r="E55" s="309"/>
      <c r="F55" s="309"/>
      <c r="G55" s="309"/>
      <c r="H55" s="309"/>
      <c r="I55" s="310"/>
    </row>
    <row r="56" spans="1:9" ht="72" hidden="1" customHeight="1" x14ac:dyDescent="0.25">
      <c r="A56" s="311"/>
      <c r="B56" s="312"/>
      <c r="C56" s="312"/>
      <c r="D56" s="312"/>
      <c r="E56" s="312"/>
      <c r="F56" s="312"/>
      <c r="G56" s="312"/>
      <c r="H56" s="312"/>
      <c r="I56" s="313"/>
    </row>
  </sheetData>
  <mergeCells count="48">
    <mergeCell ref="A14:B14"/>
    <mergeCell ref="A9:B9"/>
    <mergeCell ref="A34:B34"/>
    <mergeCell ref="A18:B18"/>
    <mergeCell ref="A19:B19"/>
    <mergeCell ref="A20:B20"/>
    <mergeCell ref="A21:B21"/>
    <mergeCell ref="A27:B27"/>
    <mergeCell ref="A29:B29"/>
    <mergeCell ref="A30:B30"/>
    <mergeCell ref="A23:B23"/>
    <mergeCell ref="A56:I56"/>
    <mergeCell ref="A55:I55"/>
    <mergeCell ref="E36:G36"/>
    <mergeCell ref="B36:D36"/>
    <mergeCell ref="A36:A37"/>
    <mergeCell ref="A41:I41"/>
    <mergeCell ref="A33:B33"/>
    <mergeCell ref="A15:B15"/>
    <mergeCell ref="A17:B17"/>
    <mergeCell ref="F5:F6"/>
    <mergeCell ref="D5:D6"/>
    <mergeCell ref="A31:B31"/>
    <mergeCell ref="A22:B22"/>
    <mergeCell ref="A11:B11"/>
    <mergeCell ref="A12:B12"/>
    <mergeCell ref="A13:B13"/>
    <mergeCell ref="A25:I25"/>
    <mergeCell ref="A32:B32"/>
    <mergeCell ref="A26:B26"/>
    <mergeCell ref="A28:B28"/>
    <mergeCell ref="A16:B16"/>
    <mergeCell ref="A24:B24"/>
    <mergeCell ref="A1:I1"/>
    <mergeCell ref="A2:I2"/>
    <mergeCell ref="G4:H4"/>
    <mergeCell ref="A4:B5"/>
    <mergeCell ref="A6:B6"/>
    <mergeCell ref="H5:H6"/>
    <mergeCell ref="D4:F4"/>
    <mergeCell ref="C4:C6"/>
    <mergeCell ref="E5:E6"/>
    <mergeCell ref="A10:B10"/>
    <mergeCell ref="A7:B7"/>
    <mergeCell ref="G5:G6"/>
    <mergeCell ref="A3:G3"/>
    <mergeCell ref="I4:I6"/>
    <mergeCell ref="A8:B8"/>
  </mergeCells>
  <phoneticPr fontId="6" type="noConversion"/>
  <conditionalFormatting sqref="H34 C35:H35">
    <cfRule type="cellIs" dxfId="12" priority="8" operator="equal">
      <formula>TRUE</formula>
    </cfRule>
  </conditionalFormatting>
  <pageMargins left="0.23622047244094491" right="0.23622047244094491" top="0.74803149606299213" bottom="0.74803149606299213" header="0.31496062992125984" footer="0.31496062992125984"/>
  <pageSetup paperSize="9" scale="3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1"/>
    <pageSetUpPr fitToPage="1"/>
  </sheetPr>
  <dimension ref="A1:WVN42"/>
  <sheetViews>
    <sheetView showGridLines="0" zoomScale="80" zoomScaleNormal="80" zoomScaleSheetLayoutView="100" workbookViewId="0">
      <selection sqref="A1:F1"/>
    </sheetView>
  </sheetViews>
  <sheetFormatPr defaultColWidth="0" defaultRowHeight="15.75" zeroHeight="1" x14ac:dyDescent="0.25"/>
  <cols>
    <col min="1" max="1" width="11" style="72" customWidth="1"/>
    <col min="2" max="2" width="62.85546875" style="72" customWidth="1"/>
    <col min="3" max="3" width="20.140625" style="72" customWidth="1"/>
    <col min="4" max="5" width="27.5703125" style="72" customWidth="1"/>
    <col min="6" max="6" width="19.5703125" style="72" customWidth="1"/>
    <col min="7" max="243" width="9.140625" style="72" hidden="1"/>
    <col min="244" max="244" width="35.5703125" style="72" hidden="1"/>
    <col min="245" max="245" width="23" style="72" hidden="1"/>
    <col min="246" max="246" width="17.7109375" style="72" hidden="1"/>
    <col min="247" max="247" width="18.42578125" style="72" hidden="1"/>
    <col min="248" max="249" width="13.140625" style="72" hidden="1"/>
    <col min="250" max="250" width="10.7109375" style="72" hidden="1"/>
    <col min="251" max="251" width="40.85546875" style="72" hidden="1"/>
    <col min="252" max="252" width="34.140625" style="72" hidden="1"/>
    <col min="253" max="253" width="16" style="72" hidden="1"/>
    <col min="254" max="254" width="15.7109375" style="72" hidden="1"/>
    <col min="255" max="255" width="17.42578125" style="72" hidden="1"/>
    <col min="256" max="256" width="10.7109375" style="72" hidden="1"/>
    <col min="257" max="257" width="13" style="72" hidden="1"/>
    <col min="258" max="258" width="16.7109375" style="72" hidden="1"/>
    <col min="259" max="499" width="9.140625" style="72" hidden="1"/>
    <col min="500" max="500" width="35.5703125" style="72" hidden="1"/>
    <col min="501" max="501" width="23" style="72" hidden="1"/>
    <col min="502" max="502" width="17.7109375" style="72" hidden="1"/>
    <col min="503" max="503" width="18.42578125" style="72" hidden="1"/>
    <col min="504" max="505" width="13.140625" style="72" hidden="1"/>
    <col min="506" max="506" width="10.7109375" style="72" hidden="1"/>
    <col min="507" max="507" width="40.85546875" style="72" hidden="1"/>
    <col min="508" max="508" width="34.140625" style="72" hidden="1"/>
    <col min="509" max="509" width="16" style="72" hidden="1"/>
    <col min="510" max="510" width="15.7109375" style="72" hidden="1"/>
    <col min="511" max="511" width="17.42578125" style="72" hidden="1"/>
    <col min="512" max="512" width="10.7109375" style="72" hidden="1"/>
    <col min="513" max="513" width="13" style="72" hidden="1"/>
    <col min="514" max="514" width="16.7109375" style="72" hidden="1"/>
    <col min="515" max="755" width="9.140625" style="72" hidden="1"/>
    <col min="756" max="756" width="35.5703125" style="72" hidden="1"/>
    <col min="757" max="757" width="23" style="72" hidden="1"/>
    <col min="758" max="758" width="17.7109375" style="72" hidden="1"/>
    <col min="759" max="759" width="18.42578125" style="72" hidden="1"/>
    <col min="760" max="761" width="13.140625" style="72" hidden="1"/>
    <col min="762" max="762" width="10.7109375" style="72" hidden="1"/>
    <col min="763" max="763" width="40.85546875" style="72" hidden="1"/>
    <col min="764" max="764" width="34.140625" style="72" hidden="1"/>
    <col min="765" max="765" width="16" style="72" hidden="1"/>
    <col min="766" max="766" width="15.7109375" style="72" hidden="1"/>
    <col min="767" max="767" width="17.42578125" style="72" hidden="1"/>
    <col min="768" max="768" width="10.7109375" style="72" hidden="1"/>
    <col min="769" max="769" width="13" style="72" hidden="1"/>
    <col min="770" max="770" width="16.7109375" style="72" hidden="1"/>
    <col min="771" max="1011" width="9.140625" style="72" hidden="1"/>
    <col min="1012" max="1012" width="35.5703125" style="72" hidden="1"/>
    <col min="1013" max="1013" width="23" style="72" hidden="1"/>
    <col min="1014" max="1014" width="17.7109375" style="72" hidden="1"/>
    <col min="1015" max="1015" width="18.42578125" style="72" hidden="1"/>
    <col min="1016" max="1017" width="13.140625" style="72" hidden="1"/>
    <col min="1018" max="1018" width="10.7109375" style="72" hidden="1"/>
    <col min="1019" max="1019" width="40.85546875" style="72" hidden="1"/>
    <col min="1020" max="1020" width="34.140625" style="72" hidden="1"/>
    <col min="1021" max="1021" width="16" style="72" hidden="1"/>
    <col min="1022" max="1022" width="15.7109375" style="72" hidden="1"/>
    <col min="1023" max="1023" width="17.42578125" style="72" hidden="1"/>
    <col min="1024" max="1024" width="10.7109375" style="72" hidden="1"/>
    <col min="1025" max="1025" width="13" style="72" hidden="1"/>
    <col min="1026" max="1026" width="16.7109375" style="72" hidden="1"/>
    <col min="1027" max="1267" width="9.140625" style="72" hidden="1"/>
    <col min="1268" max="1268" width="35.5703125" style="72" hidden="1"/>
    <col min="1269" max="1269" width="23" style="72" hidden="1"/>
    <col min="1270" max="1270" width="17.7109375" style="72" hidden="1"/>
    <col min="1271" max="1271" width="18.42578125" style="72" hidden="1"/>
    <col min="1272" max="1273" width="13.140625" style="72" hidden="1"/>
    <col min="1274" max="1274" width="10.7109375" style="72" hidden="1"/>
    <col min="1275" max="1275" width="40.85546875" style="72" hidden="1"/>
    <col min="1276" max="1276" width="34.140625" style="72" hidden="1"/>
    <col min="1277" max="1277" width="16" style="72" hidden="1"/>
    <col min="1278" max="1278" width="15.7109375" style="72" hidden="1"/>
    <col min="1279" max="1279" width="17.42578125" style="72" hidden="1"/>
    <col min="1280" max="1280" width="10.7109375" style="72" hidden="1"/>
    <col min="1281" max="1281" width="13" style="72" hidden="1"/>
    <col min="1282" max="1282" width="16.7109375" style="72" hidden="1"/>
    <col min="1283" max="1523" width="9.140625" style="72" hidden="1"/>
    <col min="1524" max="1524" width="35.5703125" style="72" hidden="1"/>
    <col min="1525" max="1525" width="23" style="72" hidden="1"/>
    <col min="1526" max="1526" width="17.7109375" style="72" hidden="1"/>
    <col min="1527" max="1527" width="18.42578125" style="72" hidden="1"/>
    <col min="1528" max="1529" width="13.140625" style="72" hidden="1"/>
    <col min="1530" max="1530" width="10.7109375" style="72" hidden="1"/>
    <col min="1531" max="1531" width="40.85546875" style="72" hidden="1"/>
    <col min="1532" max="1532" width="34.140625" style="72" hidden="1"/>
    <col min="1533" max="1533" width="16" style="72" hidden="1"/>
    <col min="1534" max="1534" width="15.7109375" style="72" hidden="1"/>
    <col min="1535" max="1535" width="17.42578125" style="72" hidden="1"/>
    <col min="1536" max="1536" width="10.7109375" style="72" hidden="1"/>
    <col min="1537" max="1537" width="13" style="72" hidden="1"/>
    <col min="1538" max="1538" width="16.7109375" style="72" hidden="1"/>
    <col min="1539" max="1779" width="9.140625" style="72" hidden="1"/>
    <col min="1780" max="1780" width="35.5703125" style="72" hidden="1"/>
    <col min="1781" max="1781" width="23" style="72" hidden="1"/>
    <col min="1782" max="1782" width="17.7109375" style="72" hidden="1"/>
    <col min="1783" max="1783" width="18.42578125" style="72" hidden="1"/>
    <col min="1784" max="1785" width="13.140625" style="72" hidden="1"/>
    <col min="1786" max="1786" width="10.7109375" style="72" hidden="1"/>
    <col min="1787" max="1787" width="40.85546875" style="72" hidden="1"/>
    <col min="1788" max="1788" width="34.140625" style="72" hidden="1"/>
    <col min="1789" max="1789" width="16" style="72" hidden="1"/>
    <col min="1790" max="1790" width="15.7109375" style="72" hidden="1"/>
    <col min="1791" max="1791" width="17.42578125" style="72" hidden="1"/>
    <col min="1792" max="1792" width="10.7109375" style="72" hidden="1"/>
    <col min="1793" max="1793" width="13" style="72" hidden="1"/>
    <col min="1794" max="1794" width="16.7109375" style="72" hidden="1"/>
    <col min="1795" max="2035" width="9.140625" style="72" hidden="1"/>
    <col min="2036" max="2036" width="35.5703125" style="72" hidden="1"/>
    <col min="2037" max="2037" width="23" style="72" hidden="1"/>
    <col min="2038" max="2038" width="17.7109375" style="72" hidden="1"/>
    <col min="2039" max="2039" width="18.42578125" style="72" hidden="1"/>
    <col min="2040" max="2041" width="13.140625" style="72" hidden="1"/>
    <col min="2042" max="2042" width="10.7109375" style="72" hidden="1"/>
    <col min="2043" max="2043" width="40.85546875" style="72" hidden="1"/>
    <col min="2044" max="2044" width="34.140625" style="72" hidden="1"/>
    <col min="2045" max="2045" width="16" style="72" hidden="1"/>
    <col min="2046" max="2046" width="15.7109375" style="72" hidden="1"/>
    <col min="2047" max="2047" width="17.42578125" style="72" hidden="1"/>
    <col min="2048" max="2048" width="10.7109375" style="72" hidden="1"/>
    <col min="2049" max="2049" width="13" style="72" hidden="1"/>
    <col min="2050" max="2050" width="16.7109375" style="72" hidden="1"/>
    <col min="2051" max="2291" width="9.140625" style="72" hidden="1"/>
    <col min="2292" max="2292" width="35.5703125" style="72" hidden="1"/>
    <col min="2293" max="2293" width="23" style="72" hidden="1"/>
    <col min="2294" max="2294" width="17.7109375" style="72" hidden="1"/>
    <col min="2295" max="2295" width="18.42578125" style="72" hidden="1"/>
    <col min="2296" max="2297" width="13.140625" style="72" hidden="1"/>
    <col min="2298" max="2298" width="10.7109375" style="72" hidden="1"/>
    <col min="2299" max="2299" width="40.85546875" style="72" hidden="1"/>
    <col min="2300" max="2300" width="34.140625" style="72" hidden="1"/>
    <col min="2301" max="2301" width="16" style="72" hidden="1"/>
    <col min="2302" max="2302" width="15.7109375" style="72" hidden="1"/>
    <col min="2303" max="2303" width="17.42578125" style="72" hidden="1"/>
    <col min="2304" max="2304" width="10.7109375" style="72" hidden="1"/>
    <col min="2305" max="2305" width="13" style="72" hidden="1"/>
    <col min="2306" max="2306" width="16.7109375" style="72" hidden="1"/>
    <col min="2307" max="2547" width="9.140625" style="72" hidden="1"/>
    <col min="2548" max="2548" width="35.5703125" style="72" hidden="1"/>
    <col min="2549" max="2549" width="23" style="72" hidden="1"/>
    <col min="2550" max="2550" width="17.7109375" style="72" hidden="1"/>
    <col min="2551" max="2551" width="18.42578125" style="72" hidden="1"/>
    <col min="2552" max="2553" width="13.140625" style="72" hidden="1"/>
    <col min="2554" max="2554" width="10.7109375" style="72" hidden="1"/>
    <col min="2555" max="2555" width="40.85546875" style="72" hidden="1"/>
    <col min="2556" max="2556" width="34.140625" style="72" hidden="1"/>
    <col min="2557" max="2557" width="16" style="72" hidden="1"/>
    <col min="2558" max="2558" width="15.7109375" style="72" hidden="1"/>
    <col min="2559" max="2559" width="17.42578125" style="72" hidden="1"/>
    <col min="2560" max="2560" width="10.7109375" style="72" hidden="1"/>
    <col min="2561" max="2561" width="13" style="72" hidden="1"/>
    <col min="2562" max="2562" width="16.7109375" style="72" hidden="1"/>
    <col min="2563" max="2803" width="9.140625" style="72" hidden="1"/>
    <col min="2804" max="2804" width="35.5703125" style="72" hidden="1"/>
    <col min="2805" max="2805" width="23" style="72" hidden="1"/>
    <col min="2806" max="2806" width="17.7109375" style="72" hidden="1"/>
    <col min="2807" max="2807" width="18.42578125" style="72" hidden="1"/>
    <col min="2808" max="2809" width="13.140625" style="72" hidden="1"/>
    <col min="2810" max="2810" width="10.7109375" style="72" hidden="1"/>
    <col min="2811" max="2811" width="40.85546875" style="72" hidden="1"/>
    <col min="2812" max="2812" width="34.140625" style="72" hidden="1"/>
    <col min="2813" max="2813" width="16" style="72" hidden="1"/>
    <col min="2814" max="2814" width="15.7109375" style="72" hidden="1"/>
    <col min="2815" max="2815" width="17.42578125" style="72" hidden="1"/>
    <col min="2816" max="2816" width="10.7109375" style="72" hidden="1"/>
    <col min="2817" max="2817" width="13" style="72" hidden="1"/>
    <col min="2818" max="2818" width="16.7109375" style="72" hidden="1"/>
    <col min="2819" max="3059" width="9.140625" style="72" hidden="1"/>
    <col min="3060" max="3060" width="35.5703125" style="72" hidden="1"/>
    <col min="3061" max="3061" width="23" style="72" hidden="1"/>
    <col min="3062" max="3062" width="17.7109375" style="72" hidden="1"/>
    <col min="3063" max="3063" width="18.42578125" style="72" hidden="1"/>
    <col min="3064" max="3065" width="13.140625" style="72" hidden="1"/>
    <col min="3066" max="3066" width="10.7109375" style="72" hidden="1"/>
    <col min="3067" max="3067" width="40.85546875" style="72" hidden="1"/>
    <col min="3068" max="3068" width="34.140625" style="72" hidden="1"/>
    <col min="3069" max="3069" width="16" style="72" hidden="1"/>
    <col min="3070" max="3070" width="15.7109375" style="72" hidden="1"/>
    <col min="3071" max="3071" width="17.42578125" style="72" hidden="1"/>
    <col min="3072" max="3072" width="10.7109375" style="72" hidden="1"/>
    <col min="3073" max="3073" width="13" style="72" hidden="1"/>
    <col min="3074" max="3074" width="16.7109375" style="72" hidden="1"/>
    <col min="3075" max="3315" width="9.140625" style="72" hidden="1"/>
    <col min="3316" max="3316" width="35.5703125" style="72" hidden="1"/>
    <col min="3317" max="3317" width="23" style="72" hidden="1"/>
    <col min="3318" max="3318" width="17.7109375" style="72" hidden="1"/>
    <col min="3319" max="3319" width="18.42578125" style="72" hidden="1"/>
    <col min="3320" max="3321" width="13.140625" style="72" hidden="1"/>
    <col min="3322" max="3322" width="10.7109375" style="72" hidden="1"/>
    <col min="3323" max="3323" width="40.85546875" style="72" hidden="1"/>
    <col min="3324" max="3324" width="34.140625" style="72" hidden="1"/>
    <col min="3325" max="3325" width="16" style="72" hidden="1"/>
    <col min="3326" max="3326" width="15.7109375" style="72" hidden="1"/>
    <col min="3327" max="3327" width="17.42578125" style="72" hidden="1"/>
    <col min="3328" max="3328" width="10.7109375" style="72" hidden="1"/>
    <col min="3329" max="3329" width="13" style="72" hidden="1"/>
    <col min="3330" max="3330" width="16.7109375" style="72" hidden="1"/>
    <col min="3331" max="3571" width="9.140625" style="72" hidden="1"/>
    <col min="3572" max="3572" width="35.5703125" style="72" hidden="1"/>
    <col min="3573" max="3573" width="23" style="72" hidden="1"/>
    <col min="3574" max="3574" width="17.7109375" style="72" hidden="1"/>
    <col min="3575" max="3575" width="18.42578125" style="72" hidden="1"/>
    <col min="3576" max="3577" width="13.140625" style="72" hidden="1"/>
    <col min="3578" max="3578" width="10.7109375" style="72" hidden="1"/>
    <col min="3579" max="3579" width="40.85546875" style="72" hidden="1"/>
    <col min="3580" max="3580" width="34.140625" style="72" hidden="1"/>
    <col min="3581" max="3581" width="16" style="72" hidden="1"/>
    <col min="3582" max="3582" width="15.7109375" style="72" hidden="1"/>
    <col min="3583" max="3583" width="17.42578125" style="72" hidden="1"/>
    <col min="3584" max="3584" width="10.7109375" style="72" hidden="1"/>
    <col min="3585" max="3585" width="13" style="72" hidden="1"/>
    <col min="3586" max="3586" width="16.7109375" style="72" hidden="1"/>
    <col min="3587" max="3827" width="9.140625" style="72" hidden="1"/>
    <col min="3828" max="3828" width="35.5703125" style="72" hidden="1"/>
    <col min="3829" max="3829" width="23" style="72" hidden="1"/>
    <col min="3830" max="3830" width="17.7109375" style="72" hidden="1"/>
    <col min="3831" max="3831" width="18.42578125" style="72" hidden="1"/>
    <col min="3832" max="3833" width="13.140625" style="72" hidden="1"/>
    <col min="3834" max="3834" width="10.7109375" style="72" hidden="1"/>
    <col min="3835" max="3835" width="40.85546875" style="72" hidden="1"/>
    <col min="3836" max="3836" width="34.140625" style="72" hidden="1"/>
    <col min="3837" max="3837" width="16" style="72" hidden="1"/>
    <col min="3838" max="3838" width="15.7109375" style="72" hidden="1"/>
    <col min="3839" max="3839" width="17.42578125" style="72" hidden="1"/>
    <col min="3840" max="3840" width="10.7109375" style="72" hidden="1"/>
    <col min="3841" max="3841" width="13" style="72" hidden="1"/>
    <col min="3842" max="3842" width="16.7109375" style="72" hidden="1"/>
    <col min="3843" max="4083" width="9.140625" style="72" hidden="1"/>
    <col min="4084" max="4084" width="35.5703125" style="72" hidden="1"/>
    <col min="4085" max="4085" width="23" style="72" hidden="1"/>
    <col min="4086" max="4086" width="17.7109375" style="72" hidden="1"/>
    <col min="4087" max="4087" width="18.42578125" style="72" hidden="1"/>
    <col min="4088" max="4089" width="13.140625" style="72" hidden="1"/>
    <col min="4090" max="4090" width="10.7109375" style="72" hidden="1"/>
    <col min="4091" max="4091" width="40.85546875" style="72" hidden="1"/>
    <col min="4092" max="4092" width="34.140625" style="72" hidden="1"/>
    <col min="4093" max="4093" width="16" style="72" hidden="1"/>
    <col min="4094" max="4094" width="15.7109375" style="72" hidden="1"/>
    <col min="4095" max="4095" width="17.42578125" style="72" hidden="1"/>
    <col min="4096" max="4096" width="10.7109375" style="72" hidden="1"/>
    <col min="4097" max="4097" width="13" style="72" hidden="1"/>
    <col min="4098" max="4098" width="16.7109375" style="72" hidden="1"/>
    <col min="4099" max="4339" width="9.140625" style="72" hidden="1"/>
    <col min="4340" max="4340" width="35.5703125" style="72" hidden="1"/>
    <col min="4341" max="4341" width="23" style="72" hidden="1"/>
    <col min="4342" max="4342" width="17.7109375" style="72" hidden="1"/>
    <col min="4343" max="4343" width="18.42578125" style="72" hidden="1"/>
    <col min="4344" max="4345" width="13.140625" style="72" hidden="1"/>
    <col min="4346" max="4346" width="10.7109375" style="72" hidden="1"/>
    <col min="4347" max="4347" width="40.85546875" style="72" hidden="1"/>
    <col min="4348" max="4348" width="34.140625" style="72" hidden="1"/>
    <col min="4349" max="4349" width="16" style="72" hidden="1"/>
    <col min="4350" max="4350" width="15.7109375" style="72" hidden="1"/>
    <col min="4351" max="4351" width="17.42578125" style="72" hidden="1"/>
    <col min="4352" max="4352" width="10.7109375" style="72" hidden="1"/>
    <col min="4353" max="4353" width="13" style="72" hidden="1"/>
    <col min="4354" max="4354" width="16.7109375" style="72" hidden="1"/>
    <col min="4355" max="4595" width="9.140625" style="72" hidden="1"/>
    <col min="4596" max="4596" width="35.5703125" style="72" hidden="1"/>
    <col min="4597" max="4597" width="23" style="72" hidden="1"/>
    <col min="4598" max="4598" width="17.7109375" style="72" hidden="1"/>
    <col min="4599" max="4599" width="18.42578125" style="72" hidden="1"/>
    <col min="4600" max="4601" width="13.140625" style="72" hidden="1"/>
    <col min="4602" max="4602" width="10.7109375" style="72" hidden="1"/>
    <col min="4603" max="4603" width="40.85546875" style="72" hidden="1"/>
    <col min="4604" max="4604" width="34.140625" style="72" hidden="1"/>
    <col min="4605" max="4605" width="16" style="72" hidden="1"/>
    <col min="4606" max="4606" width="15.7109375" style="72" hidden="1"/>
    <col min="4607" max="4607" width="17.42578125" style="72" hidden="1"/>
    <col min="4608" max="4608" width="10.7109375" style="72" hidden="1"/>
    <col min="4609" max="4609" width="13" style="72" hidden="1"/>
    <col min="4610" max="4610" width="16.7109375" style="72" hidden="1"/>
    <col min="4611" max="4851" width="9.140625" style="72" hidden="1"/>
    <col min="4852" max="4852" width="35.5703125" style="72" hidden="1"/>
    <col min="4853" max="4853" width="23" style="72" hidden="1"/>
    <col min="4854" max="4854" width="17.7109375" style="72" hidden="1"/>
    <col min="4855" max="4855" width="18.42578125" style="72" hidden="1"/>
    <col min="4856" max="4857" width="13.140625" style="72" hidden="1"/>
    <col min="4858" max="4858" width="10.7109375" style="72" hidden="1"/>
    <col min="4859" max="4859" width="40.85546875" style="72" hidden="1"/>
    <col min="4860" max="4860" width="34.140625" style="72" hidden="1"/>
    <col min="4861" max="4861" width="16" style="72" hidden="1"/>
    <col min="4862" max="4862" width="15.7109375" style="72" hidden="1"/>
    <col min="4863" max="4863" width="17.42578125" style="72" hidden="1"/>
    <col min="4864" max="4864" width="10.7109375" style="72" hidden="1"/>
    <col min="4865" max="4865" width="13" style="72" hidden="1"/>
    <col min="4866" max="4866" width="16.7109375" style="72" hidden="1"/>
    <col min="4867" max="5107" width="9.140625" style="72" hidden="1"/>
    <col min="5108" max="5108" width="35.5703125" style="72" hidden="1"/>
    <col min="5109" max="5109" width="23" style="72" hidden="1"/>
    <col min="5110" max="5110" width="17.7109375" style="72" hidden="1"/>
    <col min="5111" max="5111" width="18.42578125" style="72" hidden="1"/>
    <col min="5112" max="5113" width="13.140625" style="72" hidden="1"/>
    <col min="5114" max="5114" width="10.7109375" style="72" hidden="1"/>
    <col min="5115" max="5115" width="40.85546875" style="72" hidden="1"/>
    <col min="5116" max="5116" width="34.140625" style="72" hidden="1"/>
    <col min="5117" max="5117" width="16" style="72" hidden="1"/>
    <col min="5118" max="5118" width="15.7109375" style="72" hidden="1"/>
    <col min="5119" max="5119" width="17.42578125" style="72" hidden="1"/>
    <col min="5120" max="5120" width="10.7109375" style="72" hidden="1"/>
    <col min="5121" max="5121" width="13" style="72" hidden="1"/>
    <col min="5122" max="5122" width="16.7109375" style="72" hidden="1"/>
    <col min="5123" max="5363" width="9.140625" style="72" hidden="1"/>
    <col min="5364" max="5364" width="35.5703125" style="72" hidden="1"/>
    <col min="5365" max="5365" width="23" style="72" hidden="1"/>
    <col min="5366" max="5366" width="17.7109375" style="72" hidden="1"/>
    <col min="5367" max="5367" width="18.42578125" style="72" hidden="1"/>
    <col min="5368" max="5369" width="13.140625" style="72" hidden="1"/>
    <col min="5370" max="5370" width="10.7109375" style="72" hidden="1"/>
    <col min="5371" max="5371" width="40.85546875" style="72" hidden="1"/>
    <col min="5372" max="5372" width="34.140625" style="72" hidden="1"/>
    <col min="5373" max="5373" width="16" style="72" hidden="1"/>
    <col min="5374" max="5374" width="15.7109375" style="72" hidden="1"/>
    <col min="5375" max="5375" width="17.42578125" style="72" hidden="1"/>
    <col min="5376" max="5376" width="10.7109375" style="72" hidden="1"/>
    <col min="5377" max="5377" width="13" style="72" hidden="1"/>
    <col min="5378" max="5378" width="16.7109375" style="72" hidden="1"/>
    <col min="5379" max="5619" width="9.140625" style="72" hidden="1"/>
    <col min="5620" max="5620" width="35.5703125" style="72" hidden="1"/>
    <col min="5621" max="5621" width="23" style="72" hidden="1"/>
    <col min="5622" max="5622" width="17.7109375" style="72" hidden="1"/>
    <col min="5623" max="5623" width="18.42578125" style="72" hidden="1"/>
    <col min="5624" max="5625" width="13.140625" style="72" hidden="1"/>
    <col min="5626" max="5626" width="10.7109375" style="72" hidden="1"/>
    <col min="5627" max="5627" width="40.85546875" style="72" hidden="1"/>
    <col min="5628" max="5628" width="34.140625" style="72" hidden="1"/>
    <col min="5629" max="5629" width="16" style="72" hidden="1"/>
    <col min="5630" max="5630" width="15.7109375" style="72" hidden="1"/>
    <col min="5631" max="5631" width="17.42578125" style="72" hidden="1"/>
    <col min="5632" max="5632" width="10.7109375" style="72" hidden="1"/>
    <col min="5633" max="5633" width="13" style="72" hidden="1"/>
    <col min="5634" max="5634" width="16.7109375" style="72" hidden="1"/>
    <col min="5635" max="5875" width="9.140625" style="72" hidden="1"/>
    <col min="5876" max="5876" width="35.5703125" style="72" hidden="1"/>
    <col min="5877" max="5877" width="23" style="72" hidden="1"/>
    <col min="5878" max="5878" width="17.7109375" style="72" hidden="1"/>
    <col min="5879" max="5879" width="18.42578125" style="72" hidden="1"/>
    <col min="5880" max="5881" width="13.140625" style="72" hidden="1"/>
    <col min="5882" max="5882" width="10.7109375" style="72" hidden="1"/>
    <col min="5883" max="5883" width="40.85546875" style="72" hidden="1"/>
    <col min="5884" max="5884" width="34.140625" style="72" hidden="1"/>
    <col min="5885" max="5885" width="16" style="72" hidden="1"/>
    <col min="5886" max="5886" width="15.7109375" style="72" hidden="1"/>
    <col min="5887" max="5887" width="17.42578125" style="72" hidden="1"/>
    <col min="5888" max="5888" width="10.7109375" style="72" hidden="1"/>
    <col min="5889" max="5889" width="13" style="72" hidden="1"/>
    <col min="5890" max="5890" width="16.7109375" style="72" hidden="1"/>
    <col min="5891" max="6131" width="9.140625" style="72" hidden="1"/>
    <col min="6132" max="6132" width="35.5703125" style="72" hidden="1"/>
    <col min="6133" max="6133" width="23" style="72" hidden="1"/>
    <col min="6134" max="6134" width="17.7109375" style="72" hidden="1"/>
    <col min="6135" max="6135" width="18.42578125" style="72" hidden="1"/>
    <col min="6136" max="6137" width="13.140625" style="72" hidden="1"/>
    <col min="6138" max="6138" width="10.7109375" style="72" hidden="1"/>
    <col min="6139" max="6139" width="40.85546875" style="72" hidden="1"/>
    <col min="6140" max="6140" width="34.140625" style="72" hidden="1"/>
    <col min="6141" max="6141" width="16" style="72" hidden="1"/>
    <col min="6142" max="6142" width="15.7109375" style="72" hidden="1"/>
    <col min="6143" max="6143" width="17.42578125" style="72" hidden="1"/>
    <col min="6144" max="6144" width="10.7109375" style="72" hidden="1"/>
    <col min="6145" max="6145" width="13" style="72" hidden="1"/>
    <col min="6146" max="6146" width="16.7109375" style="72" hidden="1"/>
    <col min="6147" max="6387" width="9.140625" style="72" hidden="1"/>
    <col min="6388" max="6388" width="35.5703125" style="72" hidden="1"/>
    <col min="6389" max="6389" width="23" style="72" hidden="1"/>
    <col min="6390" max="6390" width="17.7109375" style="72" hidden="1"/>
    <col min="6391" max="6391" width="18.42578125" style="72" hidden="1"/>
    <col min="6392" max="6393" width="13.140625" style="72" hidden="1"/>
    <col min="6394" max="6394" width="10.7109375" style="72" hidden="1"/>
    <col min="6395" max="6395" width="40.85546875" style="72" hidden="1"/>
    <col min="6396" max="6396" width="34.140625" style="72" hidden="1"/>
    <col min="6397" max="6397" width="16" style="72" hidden="1"/>
    <col min="6398" max="6398" width="15.7109375" style="72" hidden="1"/>
    <col min="6399" max="6399" width="17.42578125" style="72" hidden="1"/>
    <col min="6400" max="6400" width="10.7109375" style="72" hidden="1"/>
    <col min="6401" max="6401" width="13" style="72" hidden="1"/>
    <col min="6402" max="6402" width="16.7109375" style="72" hidden="1"/>
    <col min="6403" max="6643" width="9.140625" style="72" hidden="1"/>
    <col min="6644" max="6644" width="35.5703125" style="72" hidden="1"/>
    <col min="6645" max="6645" width="23" style="72" hidden="1"/>
    <col min="6646" max="6646" width="17.7109375" style="72" hidden="1"/>
    <col min="6647" max="6647" width="18.42578125" style="72" hidden="1"/>
    <col min="6648" max="6649" width="13.140625" style="72" hidden="1"/>
    <col min="6650" max="6650" width="10.7109375" style="72" hidden="1"/>
    <col min="6651" max="6651" width="40.85546875" style="72" hidden="1"/>
    <col min="6652" max="6652" width="34.140625" style="72" hidden="1"/>
    <col min="6653" max="6653" width="16" style="72" hidden="1"/>
    <col min="6654" max="6654" width="15.7109375" style="72" hidden="1"/>
    <col min="6655" max="6655" width="17.42578125" style="72" hidden="1"/>
    <col min="6656" max="6656" width="10.7109375" style="72" hidden="1"/>
    <col min="6657" max="6657" width="13" style="72" hidden="1"/>
    <col min="6658" max="6658" width="16.7109375" style="72" hidden="1"/>
    <col min="6659" max="6899" width="9.140625" style="72" hidden="1"/>
    <col min="6900" max="6900" width="35.5703125" style="72" hidden="1"/>
    <col min="6901" max="6901" width="23" style="72" hidden="1"/>
    <col min="6902" max="6902" width="17.7109375" style="72" hidden="1"/>
    <col min="6903" max="6903" width="18.42578125" style="72" hidden="1"/>
    <col min="6904" max="6905" width="13.140625" style="72" hidden="1"/>
    <col min="6906" max="6906" width="10.7109375" style="72" hidden="1"/>
    <col min="6907" max="6907" width="40.85546875" style="72" hidden="1"/>
    <col min="6908" max="6908" width="34.140625" style="72" hidden="1"/>
    <col min="6909" max="6909" width="16" style="72" hidden="1"/>
    <col min="6910" max="6910" width="15.7109375" style="72" hidden="1"/>
    <col min="6911" max="6911" width="17.42578125" style="72" hidden="1"/>
    <col min="6912" max="6912" width="10.7109375" style="72" hidden="1"/>
    <col min="6913" max="6913" width="13" style="72" hidden="1"/>
    <col min="6914" max="6914" width="16.7109375" style="72" hidden="1"/>
    <col min="6915" max="7155" width="9.140625" style="72" hidden="1"/>
    <col min="7156" max="7156" width="35.5703125" style="72" hidden="1"/>
    <col min="7157" max="7157" width="23" style="72" hidden="1"/>
    <col min="7158" max="7158" width="17.7109375" style="72" hidden="1"/>
    <col min="7159" max="7159" width="18.42578125" style="72" hidden="1"/>
    <col min="7160" max="7161" width="13.140625" style="72" hidden="1"/>
    <col min="7162" max="7162" width="10.7109375" style="72" hidden="1"/>
    <col min="7163" max="7163" width="40.85546875" style="72" hidden="1"/>
    <col min="7164" max="7164" width="34.140625" style="72" hidden="1"/>
    <col min="7165" max="7165" width="16" style="72" hidden="1"/>
    <col min="7166" max="7166" width="15.7109375" style="72" hidden="1"/>
    <col min="7167" max="7167" width="17.42578125" style="72" hidden="1"/>
    <col min="7168" max="7168" width="10.7109375" style="72" hidden="1"/>
    <col min="7169" max="7169" width="13" style="72" hidden="1"/>
    <col min="7170" max="7170" width="16.7109375" style="72" hidden="1"/>
    <col min="7171" max="7411" width="9.140625" style="72" hidden="1"/>
    <col min="7412" max="7412" width="35.5703125" style="72" hidden="1"/>
    <col min="7413" max="7413" width="23" style="72" hidden="1"/>
    <col min="7414" max="7414" width="17.7109375" style="72" hidden="1"/>
    <col min="7415" max="7415" width="18.42578125" style="72" hidden="1"/>
    <col min="7416" max="7417" width="13.140625" style="72" hidden="1"/>
    <col min="7418" max="7418" width="10.7109375" style="72" hidden="1"/>
    <col min="7419" max="7419" width="40.85546875" style="72" hidden="1"/>
    <col min="7420" max="7420" width="34.140625" style="72" hidden="1"/>
    <col min="7421" max="7421" width="16" style="72" hidden="1"/>
    <col min="7422" max="7422" width="15.7109375" style="72" hidden="1"/>
    <col min="7423" max="7423" width="17.42578125" style="72" hidden="1"/>
    <col min="7424" max="7424" width="10.7109375" style="72" hidden="1"/>
    <col min="7425" max="7425" width="13" style="72" hidden="1"/>
    <col min="7426" max="7426" width="16.7109375" style="72" hidden="1"/>
    <col min="7427" max="7667" width="9.140625" style="72" hidden="1"/>
    <col min="7668" max="7668" width="35.5703125" style="72" hidden="1"/>
    <col min="7669" max="7669" width="23" style="72" hidden="1"/>
    <col min="7670" max="7670" width="17.7109375" style="72" hidden="1"/>
    <col min="7671" max="7671" width="18.42578125" style="72" hidden="1"/>
    <col min="7672" max="7673" width="13.140625" style="72" hidden="1"/>
    <col min="7674" max="7674" width="10.7109375" style="72" hidden="1"/>
    <col min="7675" max="7675" width="40.85546875" style="72" hidden="1"/>
    <col min="7676" max="7676" width="34.140625" style="72" hidden="1"/>
    <col min="7677" max="7677" width="16" style="72" hidden="1"/>
    <col min="7678" max="7678" width="15.7109375" style="72" hidden="1"/>
    <col min="7679" max="7679" width="17.42578125" style="72" hidden="1"/>
    <col min="7680" max="7680" width="10.7109375" style="72" hidden="1"/>
    <col min="7681" max="7681" width="13" style="72" hidden="1"/>
    <col min="7682" max="7682" width="16.7109375" style="72" hidden="1"/>
    <col min="7683" max="7923" width="9.140625" style="72" hidden="1"/>
    <col min="7924" max="7924" width="35.5703125" style="72" hidden="1"/>
    <col min="7925" max="7925" width="23" style="72" hidden="1"/>
    <col min="7926" max="7926" width="17.7109375" style="72" hidden="1"/>
    <col min="7927" max="7927" width="18.42578125" style="72" hidden="1"/>
    <col min="7928" max="7929" width="13.140625" style="72" hidden="1"/>
    <col min="7930" max="7930" width="10.7109375" style="72" hidden="1"/>
    <col min="7931" max="7931" width="40.85546875" style="72" hidden="1"/>
    <col min="7932" max="7932" width="34.140625" style="72" hidden="1"/>
    <col min="7933" max="7933" width="16" style="72" hidden="1"/>
    <col min="7934" max="7934" width="15.7109375" style="72" hidden="1"/>
    <col min="7935" max="7935" width="17.42578125" style="72" hidden="1"/>
    <col min="7936" max="7936" width="10.7109375" style="72" hidden="1"/>
    <col min="7937" max="7937" width="13" style="72" hidden="1"/>
    <col min="7938" max="7938" width="16.7109375" style="72" hidden="1"/>
    <col min="7939" max="8179" width="9.140625" style="72" hidden="1"/>
    <col min="8180" max="8180" width="35.5703125" style="72" hidden="1"/>
    <col min="8181" max="8181" width="23" style="72" hidden="1"/>
    <col min="8182" max="8182" width="17.7109375" style="72" hidden="1"/>
    <col min="8183" max="8183" width="18.42578125" style="72" hidden="1"/>
    <col min="8184" max="8185" width="13.140625" style="72" hidden="1"/>
    <col min="8186" max="8186" width="10.7109375" style="72" hidden="1"/>
    <col min="8187" max="8187" width="40.85546875" style="72" hidden="1"/>
    <col min="8188" max="8188" width="34.140625" style="72" hidden="1"/>
    <col min="8189" max="8189" width="16" style="72" hidden="1"/>
    <col min="8190" max="8190" width="15.7109375" style="72" hidden="1"/>
    <col min="8191" max="8191" width="17.42578125" style="72" hidden="1"/>
    <col min="8192" max="8192" width="10.7109375" style="72" hidden="1"/>
    <col min="8193" max="8193" width="13" style="72" hidden="1"/>
    <col min="8194" max="8194" width="16.7109375" style="72" hidden="1"/>
    <col min="8195" max="8435" width="9.140625" style="72" hidden="1"/>
    <col min="8436" max="8436" width="35.5703125" style="72" hidden="1"/>
    <col min="8437" max="8437" width="23" style="72" hidden="1"/>
    <col min="8438" max="8438" width="17.7109375" style="72" hidden="1"/>
    <col min="8439" max="8439" width="18.42578125" style="72" hidden="1"/>
    <col min="8440" max="8441" width="13.140625" style="72" hidden="1"/>
    <col min="8442" max="8442" width="10.7109375" style="72" hidden="1"/>
    <col min="8443" max="8443" width="40.85546875" style="72" hidden="1"/>
    <col min="8444" max="8444" width="34.140625" style="72" hidden="1"/>
    <col min="8445" max="8445" width="16" style="72" hidden="1"/>
    <col min="8446" max="8446" width="15.7109375" style="72" hidden="1"/>
    <col min="8447" max="8447" width="17.42578125" style="72" hidden="1"/>
    <col min="8448" max="8448" width="10.7109375" style="72" hidden="1"/>
    <col min="8449" max="8449" width="13" style="72" hidden="1"/>
    <col min="8450" max="8450" width="16.7109375" style="72" hidden="1"/>
    <col min="8451" max="8691" width="9.140625" style="72" hidden="1"/>
    <col min="8692" max="8692" width="35.5703125" style="72" hidden="1"/>
    <col min="8693" max="8693" width="23" style="72" hidden="1"/>
    <col min="8694" max="8694" width="17.7109375" style="72" hidden="1"/>
    <col min="8695" max="8695" width="18.42578125" style="72" hidden="1"/>
    <col min="8696" max="8697" width="13.140625" style="72" hidden="1"/>
    <col min="8698" max="8698" width="10.7109375" style="72" hidden="1"/>
    <col min="8699" max="8699" width="40.85546875" style="72" hidden="1"/>
    <col min="8700" max="8700" width="34.140625" style="72" hidden="1"/>
    <col min="8701" max="8701" width="16" style="72" hidden="1"/>
    <col min="8702" max="8702" width="15.7109375" style="72" hidden="1"/>
    <col min="8703" max="8703" width="17.42578125" style="72" hidden="1"/>
    <col min="8704" max="8704" width="10.7109375" style="72" hidden="1"/>
    <col min="8705" max="8705" width="13" style="72" hidden="1"/>
    <col min="8706" max="8706" width="16.7109375" style="72" hidden="1"/>
    <col min="8707" max="8947" width="9.140625" style="72" hidden="1"/>
    <col min="8948" max="8948" width="35.5703125" style="72" hidden="1"/>
    <col min="8949" max="8949" width="23" style="72" hidden="1"/>
    <col min="8950" max="8950" width="17.7109375" style="72" hidden="1"/>
    <col min="8951" max="8951" width="18.42578125" style="72" hidden="1"/>
    <col min="8952" max="8953" width="13.140625" style="72" hidden="1"/>
    <col min="8954" max="8954" width="10.7109375" style="72" hidden="1"/>
    <col min="8955" max="8955" width="40.85546875" style="72" hidden="1"/>
    <col min="8956" max="8956" width="34.140625" style="72" hidden="1"/>
    <col min="8957" max="8957" width="16" style="72" hidden="1"/>
    <col min="8958" max="8958" width="15.7109375" style="72" hidden="1"/>
    <col min="8959" max="8959" width="17.42578125" style="72" hidden="1"/>
    <col min="8960" max="8960" width="10.7109375" style="72" hidden="1"/>
    <col min="8961" max="8961" width="13" style="72" hidden="1"/>
    <col min="8962" max="8962" width="16.7109375" style="72" hidden="1"/>
    <col min="8963" max="9203" width="9.140625" style="72" hidden="1"/>
    <col min="9204" max="9204" width="35.5703125" style="72" hidden="1"/>
    <col min="9205" max="9205" width="23" style="72" hidden="1"/>
    <col min="9206" max="9206" width="17.7109375" style="72" hidden="1"/>
    <col min="9207" max="9207" width="18.42578125" style="72" hidden="1"/>
    <col min="9208" max="9209" width="13.140625" style="72" hidden="1"/>
    <col min="9210" max="9210" width="10.7109375" style="72" hidden="1"/>
    <col min="9211" max="9211" width="40.85546875" style="72" hidden="1"/>
    <col min="9212" max="9212" width="34.140625" style="72" hidden="1"/>
    <col min="9213" max="9213" width="16" style="72" hidden="1"/>
    <col min="9214" max="9214" width="15.7109375" style="72" hidden="1"/>
    <col min="9215" max="9215" width="17.42578125" style="72" hidden="1"/>
    <col min="9216" max="9216" width="10.7109375" style="72" hidden="1"/>
    <col min="9217" max="9217" width="13" style="72" hidden="1"/>
    <col min="9218" max="9218" width="16.7109375" style="72" hidden="1"/>
    <col min="9219" max="9459" width="9.140625" style="72" hidden="1"/>
    <col min="9460" max="9460" width="35.5703125" style="72" hidden="1"/>
    <col min="9461" max="9461" width="23" style="72" hidden="1"/>
    <col min="9462" max="9462" width="17.7109375" style="72" hidden="1"/>
    <col min="9463" max="9463" width="18.42578125" style="72" hidden="1"/>
    <col min="9464" max="9465" width="13.140625" style="72" hidden="1"/>
    <col min="9466" max="9466" width="10.7109375" style="72" hidden="1"/>
    <col min="9467" max="9467" width="40.85546875" style="72" hidden="1"/>
    <col min="9468" max="9468" width="34.140625" style="72" hidden="1"/>
    <col min="9469" max="9469" width="16" style="72" hidden="1"/>
    <col min="9470" max="9470" width="15.7109375" style="72" hidden="1"/>
    <col min="9471" max="9471" width="17.42578125" style="72" hidden="1"/>
    <col min="9472" max="9472" width="10.7109375" style="72" hidden="1"/>
    <col min="9473" max="9473" width="13" style="72" hidden="1"/>
    <col min="9474" max="9474" width="16.7109375" style="72" hidden="1"/>
    <col min="9475" max="9715" width="9.140625" style="72" hidden="1"/>
    <col min="9716" max="9716" width="35.5703125" style="72" hidden="1"/>
    <col min="9717" max="9717" width="23" style="72" hidden="1"/>
    <col min="9718" max="9718" width="17.7109375" style="72" hidden="1"/>
    <col min="9719" max="9719" width="18.42578125" style="72" hidden="1"/>
    <col min="9720" max="9721" width="13.140625" style="72" hidden="1"/>
    <col min="9722" max="9722" width="10.7109375" style="72" hidden="1"/>
    <col min="9723" max="9723" width="40.85546875" style="72" hidden="1"/>
    <col min="9724" max="9724" width="34.140625" style="72" hidden="1"/>
    <col min="9725" max="9725" width="16" style="72" hidden="1"/>
    <col min="9726" max="9726" width="15.7109375" style="72" hidden="1"/>
    <col min="9727" max="9727" width="17.42578125" style="72" hidden="1"/>
    <col min="9728" max="9728" width="10.7109375" style="72" hidden="1"/>
    <col min="9729" max="9729" width="13" style="72" hidden="1"/>
    <col min="9730" max="9730" width="16.7109375" style="72" hidden="1"/>
    <col min="9731" max="9971" width="9.140625" style="72" hidden="1"/>
    <col min="9972" max="9972" width="35.5703125" style="72" hidden="1"/>
    <col min="9973" max="9973" width="23" style="72" hidden="1"/>
    <col min="9974" max="9974" width="17.7109375" style="72" hidden="1"/>
    <col min="9975" max="9975" width="18.42578125" style="72" hidden="1"/>
    <col min="9976" max="9977" width="13.140625" style="72" hidden="1"/>
    <col min="9978" max="9978" width="10.7109375" style="72" hidden="1"/>
    <col min="9979" max="9979" width="40.85546875" style="72" hidden="1"/>
    <col min="9980" max="9980" width="34.140625" style="72" hidden="1"/>
    <col min="9981" max="9981" width="16" style="72" hidden="1"/>
    <col min="9982" max="9982" width="15.7109375" style="72" hidden="1"/>
    <col min="9983" max="9983" width="17.42578125" style="72" hidden="1"/>
    <col min="9984" max="9984" width="10.7109375" style="72" hidden="1"/>
    <col min="9985" max="9985" width="13" style="72" hidden="1"/>
    <col min="9986" max="9986" width="16.7109375" style="72" hidden="1"/>
    <col min="9987" max="10227" width="9.140625" style="72" hidden="1"/>
    <col min="10228" max="10228" width="35.5703125" style="72" hidden="1"/>
    <col min="10229" max="10229" width="23" style="72" hidden="1"/>
    <col min="10230" max="10230" width="17.7109375" style="72" hidden="1"/>
    <col min="10231" max="10231" width="18.42578125" style="72" hidden="1"/>
    <col min="10232" max="10233" width="13.140625" style="72" hidden="1"/>
    <col min="10234" max="10234" width="10.7109375" style="72" hidden="1"/>
    <col min="10235" max="10235" width="40.85546875" style="72" hidden="1"/>
    <col min="10236" max="10236" width="34.140625" style="72" hidden="1"/>
    <col min="10237" max="10237" width="16" style="72" hidden="1"/>
    <col min="10238" max="10238" width="15.7109375" style="72" hidden="1"/>
    <col min="10239" max="10239" width="17.42578125" style="72" hidden="1"/>
    <col min="10240" max="10240" width="10.7109375" style="72" hidden="1"/>
    <col min="10241" max="10241" width="13" style="72" hidden="1"/>
    <col min="10242" max="10242" width="16.7109375" style="72" hidden="1"/>
    <col min="10243" max="10483" width="9.140625" style="72" hidden="1"/>
    <col min="10484" max="10484" width="35.5703125" style="72" hidden="1"/>
    <col min="10485" max="10485" width="23" style="72" hidden="1"/>
    <col min="10486" max="10486" width="17.7109375" style="72" hidden="1"/>
    <col min="10487" max="10487" width="18.42578125" style="72" hidden="1"/>
    <col min="10488" max="10489" width="13.140625" style="72" hidden="1"/>
    <col min="10490" max="10490" width="10.7109375" style="72" hidden="1"/>
    <col min="10491" max="10491" width="40.85546875" style="72" hidden="1"/>
    <col min="10492" max="10492" width="34.140625" style="72" hidden="1"/>
    <col min="10493" max="10493" width="16" style="72" hidden="1"/>
    <col min="10494" max="10494" width="15.7109375" style="72" hidden="1"/>
    <col min="10495" max="10495" width="17.42578125" style="72" hidden="1"/>
    <col min="10496" max="10496" width="10.7109375" style="72" hidden="1"/>
    <col min="10497" max="10497" width="13" style="72" hidden="1"/>
    <col min="10498" max="10498" width="16.7109375" style="72" hidden="1"/>
    <col min="10499" max="10739" width="9.140625" style="72" hidden="1"/>
    <col min="10740" max="10740" width="35.5703125" style="72" hidden="1"/>
    <col min="10741" max="10741" width="23" style="72" hidden="1"/>
    <col min="10742" max="10742" width="17.7109375" style="72" hidden="1"/>
    <col min="10743" max="10743" width="18.42578125" style="72" hidden="1"/>
    <col min="10744" max="10745" width="13.140625" style="72" hidden="1"/>
    <col min="10746" max="10746" width="10.7109375" style="72" hidden="1"/>
    <col min="10747" max="10747" width="40.85546875" style="72" hidden="1"/>
    <col min="10748" max="10748" width="34.140625" style="72" hidden="1"/>
    <col min="10749" max="10749" width="16" style="72" hidden="1"/>
    <col min="10750" max="10750" width="15.7109375" style="72" hidden="1"/>
    <col min="10751" max="10751" width="17.42578125" style="72" hidden="1"/>
    <col min="10752" max="10752" width="10.7109375" style="72" hidden="1"/>
    <col min="10753" max="10753" width="13" style="72" hidden="1"/>
    <col min="10754" max="10754" width="16.7109375" style="72" hidden="1"/>
    <col min="10755" max="10995" width="9.140625" style="72" hidden="1"/>
    <col min="10996" max="10996" width="35.5703125" style="72" hidden="1"/>
    <col min="10997" max="10997" width="23" style="72" hidden="1"/>
    <col min="10998" max="10998" width="17.7109375" style="72" hidden="1"/>
    <col min="10999" max="10999" width="18.42578125" style="72" hidden="1"/>
    <col min="11000" max="11001" width="13.140625" style="72" hidden="1"/>
    <col min="11002" max="11002" width="10.7109375" style="72" hidden="1"/>
    <col min="11003" max="11003" width="40.85546875" style="72" hidden="1"/>
    <col min="11004" max="11004" width="34.140625" style="72" hidden="1"/>
    <col min="11005" max="11005" width="16" style="72" hidden="1"/>
    <col min="11006" max="11006" width="15.7109375" style="72" hidden="1"/>
    <col min="11007" max="11007" width="17.42578125" style="72" hidden="1"/>
    <col min="11008" max="11008" width="10.7109375" style="72" hidden="1"/>
    <col min="11009" max="11009" width="13" style="72" hidden="1"/>
    <col min="11010" max="11010" width="16.7109375" style="72" hidden="1"/>
    <col min="11011" max="11251" width="9.140625" style="72" hidden="1"/>
    <col min="11252" max="11252" width="35.5703125" style="72" hidden="1"/>
    <col min="11253" max="11253" width="23" style="72" hidden="1"/>
    <col min="11254" max="11254" width="17.7109375" style="72" hidden="1"/>
    <col min="11255" max="11255" width="18.42578125" style="72" hidden="1"/>
    <col min="11256" max="11257" width="13.140625" style="72" hidden="1"/>
    <col min="11258" max="11258" width="10.7109375" style="72" hidden="1"/>
    <col min="11259" max="11259" width="40.85546875" style="72" hidden="1"/>
    <col min="11260" max="11260" width="34.140625" style="72" hidden="1"/>
    <col min="11261" max="11261" width="16" style="72" hidden="1"/>
    <col min="11262" max="11262" width="15.7109375" style="72" hidden="1"/>
    <col min="11263" max="11263" width="17.42578125" style="72" hidden="1"/>
    <col min="11264" max="11264" width="10.7109375" style="72" hidden="1"/>
    <col min="11265" max="11265" width="13" style="72" hidden="1"/>
    <col min="11266" max="11266" width="16.7109375" style="72" hidden="1"/>
    <col min="11267" max="11507" width="9.140625" style="72" hidden="1"/>
    <col min="11508" max="11508" width="35.5703125" style="72" hidden="1"/>
    <col min="11509" max="11509" width="23" style="72" hidden="1"/>
    <col min="11510" max="11510" width="17.7109375" style="72" hidden="1"/>
    <col min="11511" max="11511" width="18.42578125" style="72" hidden="1"/>
    <col min="11512" max="11513" width="13.140625" style="72" hidden="1"/>
    <col min="11514" max="11514" width="10.7109375" style="72" hidden="1"/>
    <col min="11515" max="11515" width="40.85546875" style="72" hidden="1"/>
    <col min="11516" max="11516" width="34.140625" style="72" hidden="1"/>
    <col min="11517" max="11517" width="16" style="72" hidden="1"/>
    <col min="11518" max="11518" width="15.7109375" style="72" hidden="1"/>
    <col min="11519" max="11519" width="17.42578125" style="72" hidden="1"/>
    <col min="11520" max="11520" width="10.7109375" style="72" hidden="1"/>
    <col min="11521" max="11521" width="13" style="72" hidden="1"/>
    <col min="11522" max="11522" width="16.7109375" style="72" hidden="1"/>
    <col min="11523" max="11763" width="9.140625" style="72" hidden="1"/>
    <col min="11764" max="11764" width="35.5703125" style="72" hidden="1"/>
    <col min="11765" max="11765" width="23" style="72" hidden="1"/>
    <col min="11766" max="11766" width="17.7109375" style="72" hidden="1"/>
    <col min="11767" max="11767" width="18.42578125" style="72" hidden="1"/>
    <col min="11768" max="11769" width="13.140625" style="72" hidden="1"/>
    <col min="11770" max="11770" width="10.7109375" style="72" hidden="1"/>
    <col min="11771" max="11771" width="40.85546875" style="72" hidden="1"/>
    <col min="11772" max="11772" width="34.140625" style="72" hidden="1"/>
    <col min="11773" max="11773" width="16" style="72" hidden="1"/>
    <col min="11774" max="11774" width="15.7109375" style="72" hidden="1"/>
    <col min="11775" max="11775" width="17.42578125" style="72" hidden="1"/>
    <col min="11776" max="11776" width="10.7109375" style="72" hidden="1"/>
    <col min="11777" max="11777" width="13" style="72" hidden="1"/>
    <col min="11778" max="11778" width="16.7109375" style="72" hidden="1"/>
    <col min="11779" max="12019" width="9.140625" style="72" hidden="1"/>
    <col min="12020" max="12020" width="35.5703125" style="72" hidden="1"/>
    <col min="12021" max="12021" width="23" style="72" hidden="1"/>
    <col min="12022" max="12022" width="17.7109375" style="72" hidden="1"/>
    <col min="12023" max="12023" width="18.42578125" style="72" hidden="1"/>
    <col min="12024" max="12025" width="13.140625" style="72" hidden="1"/>
    <col min="12026" max="12026" width="10.7109375" style="72" hidden="1"/>
    <col min="12027" max="12027" width="40.85546875" style="72" hidden="1"/>
    <col min="12028" max="12028" width="34.140625" style="72" hidden="1"/>
    <col min="12029" max="12029" width="16" style="72" hidden="1"/>
    <col min="12030" max="12030" width="15.7109375" style="72" hidden="1"/>
    <col min="12031" max="12031" width="17.42578125" style="72" hidden="1"/>
    <col min="12032" max="12032" width="10.7109375" style="72" hidden="1"/>
    <col min="12033" max="12033" width="13" style="72" hidden="1"/>
    <col min="12034" max="12034" width="16.7109375" style="72" hidden="1"/>
    <col min="12035" max="12275" width="9.140625" style="72" hidden="1"/>
    <col min="12276" max="12276" width="35.5703125" style="72" hidden="1"/>
    <col min="12277" max="12277" width="23" style="72" hidden="1"/>
    <col min="12278" max="12278" width="17.7109375" style="72" hidden="1"/>
    <col min="12279" max="12279" width="18.42578125" style="72" hidden="1"/>
    <col min="12280" max="12281" width="13.140625" style="72" hidden="1"/>
    <col min="12282" max="12282" width="10.7109375" style="72" hidden="1"/>
    <col min="12283" max="12283" width="40.85546875" style="72" hidden="1"/>
    <col min="12284" max="12284" width="34.140625" style="72" hidden="1"/>
    <col min="12285" max="12285" width="16" style="72" hidden="1"/>
    <col min="12286" max="12286" width="15.7109375" style="72" hidden="1"/>
    <col min="12287" max="12287" width="17.42578125" style="72" hidden="1"/>
    <col min="12288" max="12288" width="10.7109375" style="72" hidden="1"/>
    <col min="12289" max="12289" width="13" style="72" hidden="1"/>
    <col min="12290" max="12290" width="16.7109375" style="72" hidden="1"/>
    <col min="12291" max="12531" width="9.140625" style="72" hidden="1"/>
    <col min="12532" max="12532" width="35.5703125" style="72" hidden="1"/>
    <col min="12533" max="12533" width="23" style="72" hidden="1"/>
    <col min="12534" max="12534" width="17.7109375" style="72" hidden="1"/>
    <col min="12535" max="12535" width="18.42578125" style="72" hidden="1"/>
    <col min="12536" max="12537" width="13.140625" style="72" hidden="1"/>
    <col min="12538" max="12538" width="10.7109375" style="72" hidden="1"/>
    <col min="12539" max="12539" width="40.85546875" style="72" hidden="1"/>
    <col min="12540" max="12540" width="34.140625" style="72" hidden="1"/>
    <col min="12541" max="12541" width="16" style="72" hidden="1"/>
    <col min="12542" max="12542" width="15.7109375" style="72" hidden="1"/>
    <col min="12543" max="12543" width="17.42578125" style="72" hidden="1"/>
    <col min="12544" max="12544" width="10.7109375" style="72" hidden="1"/>
    <col min="12545" max="12545" width="13" style="72" hidden="1"/>
    <col min="12546" max="12546" width="16.7109375" style="72" hidden="1"/>
    <col min="12547" max="12787" width="9.140625" style="72" hidden="1"/>
    <col min="12788" max="12788" width="35.5703125" style="72" hidden="1"/>
    <col min="12789" max="12789" width="23" style="72" hidden="1"/>
    <col min="12790" max="12790" width="17.7109375" style="72" hidden="1"/>
    <col min="12791" max="12791" width="18.42578125" style="72" hidden="1"/>
    <col min="12792" max="12793" width="13.140625" style="72" hidden="1"/>
    <col min="12794" max="12794" width="10.7109375" style="72" hidden="1"/>
    <col min="12795" max="12795" width="40.85546875" style="72" hidden="1"/>
    <col min="12796" max="12796" width="34.140625" style="72" hidden="1"/>
    <col min="12797" max="12797" width="16" style="72" hidden="1"/>
    <col min="12798" max="12798" width="15.7109375" style="72" hidden="1"/>
    <col min="12799" max="12799" width="17.42578125" style="72" hidden="1"/>
    <col min="12800" max="12800" width="10.7109375" style="72" hidden="1"/>
    <col min="12801" max="12801" width="13" style="72" hidden="1"/>
    <col min="12802" max="12802" width="16.7109375" style="72" hidden="1"/>
    <col min="12803" max="13043" width="9.140625" style="72" hidden="1"/>
    <col min="13044" max="13044" width="35.5703125" style="72" hidden="1"/>
    <col min="13045" max="13045" width="23" style="72" hidden="1"/>
    <col min="13046" max="13046" width="17.7109375" style="72" hidden="1"/>
    <col min="13047" max="13047" width="18.42578125" style="72" hidden="1"/>
    <col min="13048" max="13049" width="13.140625" style="72" hidden="1"/>
    <col min="13050" max="13050" width="10.7109375" style="72" hidden="1"/>
    <col min="13051" max="13051" width="40.85546875" style="72" hidden="1"/>
    <col min="13052" max="13052" width="34.140625" style="72" hidden="1"/>
    <col min="13053" max="13053" width="16" style="72" hidden="1"/>
    <col min="13054" max="13054" width="15.7109375" style="72" hidden="1"/>
    <col min="13055" max="13055" width="17.42578125" style="72" hidden="1"/>
    <col min="13056" max="13056" width="10.7109375" style="72" hidden="1"/>
    <col min="13057" max="13057" width="13" style="72" hidden="1"/>
    <col min="13058" max="13058" width="16.7109375" style="72" hidden="1"/>
    <col min="13059" max="13299" width="9.140625" style="72" hidden="1"/>
    <col min="13300" max="13300" width="35.5703125" style="72" hidden="1"/>
    <col min="13301" max="13301" width="23" style="72" hidden="1"/>
    <col min="13302" max="13302" width="17.7109375" style="72" hidden="1"/>
    <col min="13303" max="13303" width="18.42578125" style="72" hidden="1"/>
    <col min="13304" max="13305" width="13.140625" style="72" hidden="1"/>
    <col min="13306" max="13306" width="10.7109375" style="72" hidden="1"/>
    <col min="13307" max="13307" width="40.85546875" style="72" hidden="1"/>
    <col min="13308" max="13308" width="34.140625" style="72" hidden="1"/>
    <col min="13309" max="13309" width="16" style="72" hidden="1"/>
    <col min="13310" max="13310" width="15.7109375" style="72" hidden="1"/>
    <col min="13311" max="13311" width="17.42578125" style="72" hidden="1"/>
    <col min="13312" max="13312" width="10.7109375" style="72" hidden="1"/>
    <col min="13313" max="13313" width="13" style="72" hidden="1"/>
    <col min="13314" max="13314" width="16.7109375" style="72" hidden="1"/>
    <col min="13315" max="13555" width="9.140625" style="72" hidden="1"/>
    <col min="13556" max="13556" width="35.5703125" style="72" hidden="1"/>
    <col min="13557" max="13557" width="23" style="72" hidden="1"/>
    <col min="13558" max="13558" width="17.7109375" style="72" hidden="1"/>
    <col min="13559" max="13559" width="18.42578125" style="72" hidden="1"/>
    <col min="13560" max="13561" width="13.140625" style="72" hidden="1"/>
    <col min="13562" max="13562" width="10.7109375" style="72" hidden="1"/>
    <col min="13563" max="13563" width="40.85546875" style="72" hidden="1"/>
    <col min="13564" max="13564" width="34.140625" style="72" hidden="1"/>
    <col min="13565" max="13565" width="16" style="72" hidden="1"/>
    <col min="13566" max="13566" width="15.7109375" style="72" hidden="1"/>
    <col min="13567" max="13567" width="17.42578125" style="72" hidden="1"/>
    <col min="13568" max="13568" width="10.7109375" style="72" hidden="1"/>
    <col min="13569" max="13569" width="13" style="72" hidden="1"/>
    <col min="13570" max="13570" width="16.7109375" style="72" hidden="1"/>
    <col min="13571" max="13811" width="9.140625" style="72" hidden="1"/>
    <col min="13812" max="13812" width="35.5703125" style="72" hidden="1"/>
    <col min="13813" max="13813" width="23" style="72" hidden="1"/>
    <col min="13814" max="13814" width="17.7109375" style="72" hidden="1"/>
    <col min="13815" max="13815" width="18.42578125" style="72" hidden="1"/>
    <col min="13816" max="13817" width="13.140625" style="72" hidden="1"/>
    <col min="13818" max="13818" width="10.7109375" style="72" hidden="1"/>
    <col min="13819" max="13819" width="40.85546875" style="72" hidden="1"/>
    <col min="13820" max="13820" width="34.140625" style="72" hidden="1"/>
    <col min="13821" max="13821" width="16" style="72" hidden="1"/>
    <col min="13822" max="13822" width="15.7109375" style="72" hidden="1"/>
    <col min="13823" max="13823" width="17.42578125" style="72" hidden="1"/>
    <col min="13824" max="13824" width="10.7109375" style="72" hidden="1"/>
    <col min="13825" max="13825" width="13" style="72" hidden="1"/>
    <col min="13826" max="13826" width="16.7109375" style="72" hidden="1"/>
    <col min="13827" max="14067" width="9.140625" style="72" hidden="1"/>
    <col min="14068" max="14068" width="35.5703125" style="72" hidden="1"/>
    <col min="14069" max="14069" width="23" style="72" hidden="1"/>
    <col min="14070" max="14070" width="17.7109375" style="72" hidden="1"/>
    <col min="14071" max="14071" width="18.42578125" style="72" hidden="1"/>
    <col min="14072" max="14073" width="13.140625" style="72" hidden="1"/>
    <col min="14074" max="14074" width="10.7109375" style="72" hidden="1"/>
    <col min="14075" max="14075" width="40.85546875" style="72" hidden="1"/>
    <col min="14076" max="14076" width="34.140625" style="72" hidden="1"/>
    <col min="14077" max="14077" width="16" style="72" hidden="1"/>
    <col min="14078" max="14078" width="15.7109375" style="72" hidden="1"/>
    <col min="14079" max="14079" width="17.42578125" style="72" hidden="1"/>
    <col min="14080" max="14080" width="10.7109375" style="72" hidden="1"/>
    <col min="14081" max="14081" width="13" style="72" hidden="1"/>
    <col min="14082" max="14082" width="16.7109375" style="72" hidden="1"/>
    <col min="14083" max="14323" width="9.140625" style="72" hidden="1"/>
    <col min="14324" max="14324" width="35.5703125" style="72" hidden="1"/>
    <col min="14325" max="14325" width="23" style="72" hidden="1"/>
    <col min="14326" max="14326" width="17.7109375" style="72" hidden="1"/>
    <col min="14327" max="14327" width="18.42578125" style="72" hidden="1"/>
    <col min="14328" max="14329" width="13.140625" style="72" hidden="1"/>
    <col min="14330" max="14330" width="10.7109375" style="72" hidden="1"/>
    <col min="14331" max="14331" width="40.85546875" style="72" hidden="1"/>
    <col min="14332" max="14332" width="34.140625" style="72" hidden="1"/>
    <col min="14333" max="14333" width="16" style="72" hidden="1"/>
    <col min="14334" max="14334" width="15.7109375" style="72" hidden="1"/>
    <col min="14335" max="14335" width="17.42578125" style="72" hidden="1"/>
    <col min="14336" max="14336" width="10.7109375" style="72" hidden="1"/>
    <col min="14337" max="14337" width="13" style="72" hidden="1"/>
    <col min="14338" max="14338" width="16.7109375" style="72" hidden="1"/>
    <col min="14339" max="14579" width="9.140625" style="72" hidden="1"/>
    <col min="14580" max="14580" width="35.5703125" style="72" hidden="1"/>
    <col min="14581" max="14581" width="23" style="72" hidden="1"/>
    <col min="14582" max="14582" width="17.7109375" style="72" hidden="1"/>
    <col min="14583" max="14583" width="18.42578125" style="72" hidden="1"/>
    <col min="14584" max="14585" width="13.140625" style="72" hidden="1"/>
    <col min="14586" max="14586" width="10.7109375" style="72" hidden="1"/>
    <col min="14587" max="14587" width="40.85546875" style="72" hidden="1"/>
    <col min="14588" max="14588" width="34.140625" style="72" hidden="1"/>
    <col min="14589" max="14589" width="16" style="72" hidden="1"/>
    <col min="14590" max="14590" width="15.7109375" style="72" hidden="1"/>
    <col min="14591" max="14591" width="17.42578125" style="72" hidden="1"/>
    <col min="14592" max="14592" width="10.7109375" style="72" hidden="1"/>
    <col min="14593" max="14593" width="13" style="72" hidden="1"/>
    <col min="14594" max="14594" width="16.7109375" style="72" hidden="1"/>
    <col min="14595" max="14835" width="9.140625" style="72" hidden="1"/>
    <col min="14836" max="14836" width="35.5703125" style="72" hidden="1"/>
    <col min="14837" max="14837" width="23" style="72" hidden="1"/>
    <col min="14838" max="14838" width="17.7109375" style="72" hidden="1"/>
    <col min="14839" max="14839" width="18.42578125" style="72" hidden="1"/>
    <col min="14840" max="14841" width="13.140625" style="72" hidden="1"/>
    <col min="14842" max="14842" width="10.7109375" style="72" hidden="1"/>
    <col min="14843" max="14843" width="40.85546875" style="72" hidden="1"/>
    <col min="14844" max="14844" width="34.140625" style="72" hidden="1"/>
    <col min="14845" max="14845" width="16" style="72" hidden="1"/>
    <col min="14846" max="14846" width="15.7109375" style="72" hidden="1"/>
    <col min="14847" max="14847" width="17.42578125" style="72" hidden="1"/>
    <col min="14848" max="14848" width="10.7109375" style="72" hidden="1"/>
    <col min="14849" max="14849" width="13" style="72" hidden="1"/>
    <col min="14850" max="14850" width="16.7109375" style="72" hidden="1"/>
    <col min="14851" max="15091" width="9.140625" style="72" hidden="1"/>
    <col min="15092" max="15092" width="35.5703125" style="72" hidden="1"/>
    <col min="15093" max="15093" width="23" style="72" hidden="1"/>
    <col min="15094" max="15094" width="17.7109375" style="72" hidden="1"/>
    <col min="15095" max="15095" width="18.42578125" style="72" hidden="1"/>
    <col min="15096" max="15097" width="13.140625" style="72" hidden="1"/>
    <col min="15098" max="15098" width="10.7109375" style="72" hidden="1"/>
    <col min="15099" max="15099" width="40.85546875" style="72" hidden="1"/>
    <col min="15100" max="15100" width="34.140625" style="72" hidden="1"/>
    <col min="15101" max="15101" width="16" style="72" hidden="1"/>
    <col min="15102" max="15102" width="15.7109375" style="72" hidden="1"/>
    <col min="15103" max="15103" width="17.42578125" style="72" hidden="1"/>
    <col min="15104" max="15104" width="10.7109375" style="72" hidden="1"/>
    <col min="15105" max="15105" width="13" style="72" hidden="1"/>
    <col min="15106" max="15106" width="16.7109375" style="72" hidden="1"/>
    <col min="15107" max="15347" width="9.140625" style="72" hidden="1"/>
    <col min="15348" max="15348" width="35.5703125" style="72" hidden="1"/>
    <col min="15349" max="15349" width="23" style="72" hidden="1"/>
    <col min="15350" max="15350" width="17.7109375" style="72" hidden="1"/>
    <col min="15351" max="15351" width="18.42578125" style="72" hidden="1"/>
    <col min="15352" max="15353" width="13.140625" style="72" hidden="1"/>
    <col min="15354" max="15354" width="10.7109375" style="72" hidden="1"/>
    <col min="15355" max="15355" width="40.85546875" style="72" hidden="1"/>
    <col min="15356" max="15356" width="34.140625" style="72" hidden="1"/>
    <col min="15357" max="15357" width="16" style="72" hidden="1"/>
    <col min="15358" max="15358" width="15.7109375" style="72" hidden="1"/>
    <col min="15359" max="15359" width="17.42578125" style="72" hidden="1"/>
    <col min="15360" max="15360" width="10.7109375" style="72" hidden="1"/>
    <col min="15361" max="15361" width="13" style="72" hidden="1"/>
    <col min="15362" max="15362" width="16.7109375" style="72" hidden="1"/>
    <col min="15363" max="15603" width="9.140625" style="72" hidden="1"/>
    <col min="15604" max="15604" width="35.5703125" style="72" hidden="1"/>
    <col min="15605" max="15605" width="23" style="72" hidden="1"/>
    <col min="15606" max="15606" width="17.7109375" style="72" hidden="1"/>
    <col min="15607" max="15607" width="18.42578125" style="72" hidden="1"/>
    <col min="15608" max="15609" width="13.140625" style="72" hidden="1"/>
    <col min="15610" max="15610" width="10.7109375" style="72" hidden="1"/>
    <col min="15611" max="15611" width="40.85546875" style="72" hidden="1"/>
    <col min="15612" max="15612" width="34.140625" style="72" hidden="1"/>
    <col min="15613" max="15613" width="16" style="72" hidden="1"/>
    <col min="15614" max="15614" width="15.7109375" style="72" hidden="1"/>
    <col min="15615" max="15615" width="17.42578125" style="72" hidden="1"/>
    <col min="15616" max="15616" width="10.7109375" style="72" hidden="1"/>
    <col min="15617" max="15617" width="13" style="72" hidden="1"/>
    <col min="15618" max="15618" width="16.7109375" style="72" hidden="1"/>
    <col min="15619" max="15859" width="9.140625" style="72" hidden="1"/>
    <col min="15860" max="15860" width="35.5703125" style="72" hidden="1"/>
    <col min="15861" max="15861" width="23" style="72" hidden="1"/>
    <col min="15862" max="15862" width="17.7109375" style="72" hidden="1"/>
    <col min="15863" max="15863" width="18.42578125" style="72" hidden="1"/>
    <col min="15864" max="15865" width="13.140625" style="72" hidden="1"/>
    <col min="15866" max="15866" width="10.7109375" style="72" hidden="1"/>
    <col min="15867" max="15867" width="40.85546875" style="72" hidden="1"/>
    <col min="15868" max="15868" width="34.140625" style="72" hidden="1"/>
    <col min="15869" max="15869" width="16" style="72" hidden="1"/>
    <col min="15870" max="15870" width="15.7109375" style="72" hidden="1"/>
    <col min="15871" max="15871" width="17.42578125" style="72" hidden="1"/>
    <col min="15872" max="15872" width="10.7109375" style="72" hidden="1"/>
    <col min="15873" max="15873" width="13" style="72" hidden="1"/>
    <col min="15874" max="15874" width="16.7109375" style="72" hidden="1"/>
    <col min="15875" max="16115" width="9.140625" style="72" hidden="1"/>
    <col min="16116" max="16116" width="35.5703125" style="72" hidden="1"/>
    <col min="16117" max="16117" width="23" style="72" hidden="1"/>
    <col min="16118" max="16118" width="17.7109375" style="72" hidden="1"/>
    <col min="16119" max="16119" width="18.42578125" style="72" hidden="1"/>
    <col min="16120" max="16121" width="13.140625" style="72" hidden="1"/>
    <col min="16122" max="16122" width="10.7109375" style="72" hidden="1"/>
    <col min="16123" max="16123" width="40.85546875" style="72" hidden="1"/>
    <col min="16124" max="16124" width="34.140625" style="72" hidden="1"/>
    <col min="16125" max="16125" width="16" style="72" hidden="1"/>
    <col min="16126" max="16126" width="15.7109375" style="72" hidden="1"/>
    <col min="16127" max="16127" width="17.42578125" style="72" hidden="1"/>
    <col min="16128" max="16128" width="10.7109375" style="72" hidden="1"/>
    <col min="16129" max="16129" width="13" style="72" hidden="1"/>
    <col min="16130" max="16134" width="16.7109375" style="72" hidden="1"/>
    <col min="16135" max="16384" width="9.140625" style="72" hidden="1"/>
  </cols>
  <sheetData>
    <row r="1" spans="1:6" s="9" customFormat="1" ht="25.5" customHeight="1" x14ac:dyDescent="0.25">
      <c r="A1" s="331" t="str">
        <f>'Indicadores e Metas'!A1:F1</f>
        <v>CAU/UF:  BA</v>
      </c>
      <c r="B1" s="332"/>
      <c r="C1" s="332"/>
      <c r="D1" s="332"/>
      <c r="E1" s="332"/>
      <c r="F1" s="333"/>
    </row>
    <row r="2" spans="1:6" s="9" customFormat="1" ht="25.5" customHeight="1" x14ac:dyDescent="0.25">
      <c r="A2" s="331" t="s">
        <v>409</v>
      </c>
      <c r="B2" s="332"/>
      <c r="C2" s="332"/>
      <c r="D2" s="332"/>
      <c r="E2" s="332"/>
      <c r="F2" s="333"/>
    </row>
    <row r="3" spans="1:6" x14ac:dyDescent="0.25"/>
    <row r="4" spans="1:6" s="9" customFormat="1" ht="39" customHeight="1" x14ac:dyDescent="0.25">
      <c r="A4" s="357" t="s">
        <v>45</v>
      </c>
      <c r="B4" s="356" t="s">
        <v>47</v>
      </c>
      <c r="C4" s="356"/>
      <c r="D4" s="103" t="str">
        <f>D15</f>
        <v>Programação</v>
      </c>
      <c r="E4" s="103" t="str">
        <f>E15</f>
        <v>Reprogramação</v>
      </c>
      <c r="F4" s="103" t="s">
        <v>3</v>
      </c>
    </row>
    <row r="5" spans="1:6" s="9" customFormat="1" ht="39" customHeight="1" x14ac:dyDescent="0.25">
      <c r="A5" s="357"/>
      <c r="B5" s="355" t="s">
        <v>62</v>
      </c>
      <c r="C5" s="355"/>
      <c r="D5" s="133">
        <v>2587869.1800000002</v>
      </c>
      <c r="E5" s="134">
        <f>'Anexo 3. Elemento de Despesas'!F36</f>
        <v>2578849.1</v>
      </c>
      <c r="F5" s="135">
        <f>IFERROR(E5/D5-1,0)</f>
        <v>-3.485523947543645E-3</v>
      </c>
    </row>
    <row r="6" spans="1:6" s="9" customFormat="1" ht="39" customHeight="1" x14ac:dyDescent="0.25">
      <c r="A6" s="357"/>
      <c r="B6" s="355" t="s">
        <v>57</v>
      </c>
      <c r="C6" s="355"/>
      <c r="D6" s="133">
        <v>429163.51</v>
      </c>
      <c r="E6" s="136">
        <v>388265.81</v>
      </c>
      <c r="F6" s="135">
        <f>IFERROR(E6/D6-1,0)</f>
        <v>-9.5296312587246801E-2</v>
      </c>
    </row>
    <row r="7" spans="1:6" s="9" customFormat="1" ht="39" customHeight="1" x14ac:dyDescent="0.25">
      <c r="A7" s="357"/>
      <c r="B7" s="355" t="s">
        <v>59</v>
      </c>
      <c r="C7" s="355"/>
      <c r="D7" s="137">
        <f>'Anexo 1. Fontes e Aplicações'!C7</f>
        <v>6277291.0099999998</v>
      </c>
      <c r="E7" s="134">
        <f>'Anexo 1. Fontes e Aplicações'!F7</f>
        <v>6689646.9900000002</v>
      </c>
      <c r="F7" s="135">
        <f>IFERROR(E7/D7-1,0)</f>
        <v>6.5690116858227343E-2</v>
      </c>
    </row>
    <row r="8" spans="1:6" s="9" customFormat="1" ht="36" customHeight="1" x14ac:dyDescent="0.25">
      <c r="A8" s="358"/>
      <c r="B8" s="358"/>
      <c r="C8" s="138"/>
      <c r="D8" s="139"/>
      <c r="E8" s="139"/>
      <c r="F8" s="140"/>
    </row>
    <row r="9" spans="1:6" s="9" customFormat="1" ht="39" customHeight="1" x14ac:dyDescent="0.25">
      <c r="A9" s="356" t="s">
        <v>51</v>
      </c>
      <c r="B9" s="356"/>
      <c r="C9" s="356"/>
      <c r="D9" s="103" t="str">
        <f>D15</f>
        <v>Programação</v>
      </c>
      <c r="E9" s="103" t="str">
        <f>E15</f>
        <v>Reprogramação</v>
      </c>
      <c r="F9" s="103" t="s">
        <v>67</v>
      </c>
    </row>
    <row r="10" spans="1:6" s="9" customFormat="1" ht="35.25" customHeight="1" x14ac:dyDescent="0.25">
      <c r="A10" s="320" t="s">
        <v>414</v>
      </c>
      <c r="B10" s="320"/>
      <c r="C10" s="141" t="s">
        <v>49</v>
      </c>
      <c r="D10" s="137">
        <f>(D5-D6)</f>
        <v>2158705.67</v>
      </c>
      <c r="E10" s="134">
        <f>(E5-E6)</f>
        <v>2190583.29</v>
      </c>
      <c r="F10" s="135">
        <f>IFERROR(E10/D10-1,0)</f>
        <v>1.4767006194040366E-2</v>
      </c>
    </row>
    <row r="11" spans="1:6" s="9" customFormat="1" ht="35.25" customHeight="1" x14ac:dyDescent="0.25">
      <c r="A11" s="320"/>
      <c r="B11" s="320"/>
      <c r="C11" s="141" t="s">
        <v>50</v>
      </c>
      <c r="D11" s="142">
        <f>IFERROR(D10/D7,)</f>
        <v>0.34389128472156016</v>
      </c>
      <c r="E11" s="142">
        <f>IFERROR(E10/E7,)</f>
        <v>0.32745872738495579</v>
      </c>
      <c r="F11" s="143">
        <f>(E11-D11)*100</f>
        <v>-1.643255733660437</v>
      </c>
    </row>
    <row r="12" spans="1:6" s="9" customFormat="1" ht="35.25" customHeight="1" x14ac:dyDescent="0.25">
      <c r="A12" s="320" t="s">
        <v>415</v>
      </c>
      <c r="B12" s="320"/>
      <c r="C12" s="141" t="s">
        <v>49</v>
      </c>
      <c r="D12" s="133">
        <v>60000</v>
      </c>
      <c r="E12" s="144">
        <f>'Matriz de Obj. Estrat.'!J16</f>
        <v>60000</v>
      </c>
      <c r="F12" s="135">
        <f>IFERROR(E12/D12-1,0)</f>
        <v>0</v>
      </c>
    </row>
    <row r="13" spans="1:6" s="9" customFormat="1" ht="35.25" customHeight="1" x14ac:dyDescent="0.25">
      <c r="A13" s="320"/>
      <c r="B13" s="320"/>
      <c r="C13" s="141" t="s">
        <v>50</v>
      </c>
      <c r="D13" s="142">
        <f>IFERROR(D12/D5,)</f>
        <v>2.3185097787671013E-2</v>
      </c>
      <c r="E13" s="142">
        <f>IFERROR(E12/E5,)</f>
        <v>2.3266192659353351E-2</v>
      </c>
      <c r="F13" s="143">
        <f>(E13-D13)*100</f>
        <v>8.1094871682337727E-3</v>
      </c>
    </row>
    <row r="14" spans="1:6" s="9" customFormat="1" ht="39" customHeight="1" x14ac:dyDescent="0.25">
      <c r="A14" s="72"/>
      <c r="B14" s="72"/>
      <c r="C14" s="72"/>
      <c r="D14" s="72"/>
      <c r="E14" s="72"/>
      <c r="F14" s="72"/>
    </row>
    <row r="15" spans="1:6" s="9" customFormat="1" ht="39" customHeight="1" x14ac:dyDescent="0.25">
      <c r="A15" s="360" t="s">
        <v>45</v>
      </c>
      <c r="B15" s="356" t="s">
        <v>46</v>
      </c>
      <c r="C15" s="356"/>
      <c r="D15" s="103" t="s">
        <v>362</v>
      </c>
      <c r="E15" s="103" t="s">
        <v>386</v>
      </c>
      <c r="F15" s="103" t="s">
        <v>3</v>
      </c>
    </row>
    <row r="16" spans="1:6" s="9" customFormat="1" ht="36.75" customHeight="1" x14ac:dyDescent="0.25">
      <c r="A16" s="360"/>
      <c r="B16" s="361" t="s">
        <v>152</v>
      </c>
      <c r="C16" s="361"/>
      <c r="D16" s="137">
        <f>'Anexo 1. Fontes e Aplicações'!C8</f>
        <v>5461135.4299999997</v>
      </c>
      <c r="E16" s="144">
        <f>'Anexo 1. Fontes e Aplicações'!F8</f>
        <v>5855382.9400000004</v>
      </c>
      <c r="F16" s="135">
        <f>IFERROR(E16/D16-1,0)</f>
        <v>7.2191491138318131E-2</v>
      </c>
    </row>
    <row r="17" spans="1:6" s="9" customFormat="1" ht="36.75" customHeight="1" x14ac:dyDescent="0.25">
      <c r="A17" s="360"/>
      <c r="B17" s="361" t="s">
        <v>48</v>
      </c>
      <c r="C17" s="361"/>
      <c r="D17" s="137">
        <f>'Anexo 1. Fontes e Aplicações'!C20</f>
        <v>0</v>
      </c>
      <c r="E17" s="144">
        <f>'Anexo 1. Fontes e Aplicações'!F20</f>
        <v>0</v>
      </c>
      <c r="F17" s="142">
        <f t="shared" ref="F17:F20" si="0">IFERROR(E17/D17-1,0)</f>
        <v>0</v>
      </c>
    </row>
    <row r="18" spans="1:6" s="9" customFormat="1" ht="36.75" customHeight="1" x14ac:dyDescent="0.25">
      <c r="A18" s="360"/>
      <c r="B18" s="355" t="s">
        <v>58</v>
      </c>
      <c r="C18" s="355"/>
      <c r="D18" s="148">
        <f>SUM(D16:D17)</f>
        <v>5461135.4299999997</v>
      </c>
      <c r="E18" s="148">
        <f>SUM(E16:E17)</f>
        <v>5855382.9400000004</v>
      </c>
      <c r="F18" s="149">
        <f t="shared" si="0"/>
        <v>7.2191491138318131E-2</v>
      </c>
    </row>
    <row r="19" spans="1:6" s="9" customFormat="1" ht="36.75" customHeight="1" x14ac:dyDescent="0.25">
      <c r="A19" s="360"/>
      <c r="B19" s="361" t="s">
        <v>60</v>
      </c>
      <c r="C19" s="361"/>
      <c r="D19" s="137">
        <f>'Anexo 1. Fontes e Aplicações'!C30</f>
        <v>101574.18</v>
      </c>
      <c r="E19" s="144">
        <f>'Anexo 1. Fontes e Aplicações'!F30</f>
        <v>107947.31</v>
      </c>
      <c r="F19" s="142">
        <f t="shared" si="0"/>
        <v>6.2743602754164574E-2</v>
      </c>
    </row>
    <row r="20" spans="1:6" s="9" customFormat="1" ht="36.75" customHeight="1" x14ac:dyDescent="0.25">
      <c r="A20" s="360"/>
      <c r="B20" s="316" t="s">
        <v>70</v>
      </c>
      <c r="C20" s="316"/>
      <c r="D20" s="148">
        <f>D18-D19</f>
        <v>5359561.25</v>
      </c>
      <c r="E20" s="148">
        <f>E18-E19</f>
        <v>5747435.6300000008</v>
      </c>
      <c r="F20" s="149">
        <f t="shared" si="0"/>
        <v>7.2370547122677431E-2</v>
      </c>
    </row>
    <row r="21" spans="1:6" s="9" customFormat="1" ht="39" customHeight="1" x14ac:dyDescent="0.25">
      <c r="A21" s="145"/>
      <c r="B21" s="14"/>
      <c r="C21" s="14"/>
      <c r="D21" s="146"/>
      <c r="E21" s="146"/>
      <c r="F21" s="147"/>
    </row>
    <row r="22" spans="1:6" s="9" customFormat="1" ht="39" customHeight="1" x14ac:dyDescent="0.25">
      <c r="A22" s="357" t="s">
        <v>66</v>
      </c>
      <c r="B22" s="356" t="s">
        <v>51</v>
      </c>
      <c r="C22" s="356"/>
      <c r="D22" s="103" t="str">
        <f>D15</f>
        <v>Programação</v>
      </c>
      <c r="E22" s="103" t="str">
        <f>E15</f>
        <v>Reprogramação</v>
      </c>
      <c r="F22" s="103" t="s">
        <v>3</v>
      </c>
    </row>
    <row r="23" spans="1:6" s="9" customFormat="1" ht="36.75" customHeight="1" x14ac:dyDescent="0.25">
      <c r="A23" s="357"/>
      <c r="B23" s="287" t="s">
        <v>416</v>
      </c>
      <c r="C23" s="141" t="s">
        <v>49</v>
      </c>
      <c r="D23" s="133">
        <v>901361.85</v>
      </c>
      <c r="E23" s="136">
        <f>'Matriz de Obj. Estrat.'!J5</f>
        <v>1529336.41</v>
      </c>
      <c r="F23" s="142">
        <f>IFERROR(E23/D23-1,)</f>
        <v>0.69669529501387251</v>
      </c>
    </row>
    <row r="24" spans="1:6" s="9" customFormat="1" ht="36.75" customHeight="1" x14ac:dyDescent="0.25">
      <c r="A24" s="357"/>
      <c r="B24" s="287"/>
      <c r="C24" s="141" t="s">
        <v>50</v>
      </c>
      <c r="D24" s="135">
        <f>IFERROR(D23/$D$20,0)</f>
        <v>0.16817829071362883</v>
      </c>
      <c r="E24" s="135">
        <f>IFERROR(E23/$E$20,0)</f>
        <v>0.26609021978728969</v>
      </c>
      <c r="F24" s="143">
        <f>(E24-D24)*100</f>
        <v>9.7911929073660868</v>
      </c>
    </row>
    <row r="25" spans="1:6" s="9" customFormat="1" ht="36.75" customHeight="1" x14ac:dyDescent="0.25">
      <c r="A25" s="357"/>
      <c r="B25" s="287" t="s">
        <v>417</v>
      </c>
      <c r="C25" s="141" t="s">
        <v>49</v>
      </c>
      <c r="D25" s="133">
        <v>270000</v>
      </c>
      <c r="E25" s="136">
        <v>270000</v>
      </c>
      <c r="F25" s="142">
        <f>IFERROR(E25/D25-1,)</f>
        <v>0</v>
      </c>
    </row>
    <row r="26" spans="1:6" s="9" customFormat="1" ht="36.75" customHeight="1" x14ac:dyDescent="0.25">
      <c r="A26" s="357"/>
      <c r="B26" s="287"/>
      <c r="C26" s="141" t="s">
        <v>50</v>
      </c>
      <c r="D26" s="135">
        <f>IFERROR(D25/$D$20,0)</f>
        <v>5.0377258026484913E-2</v>
      </c>
      <c r="E26" s="135">
        <f>IFERROR(E25/$E$20,0)</f>
        <v>4.6977472629823949E-2</v>
      </c>
      <c r="F26" s="143">
        <f>(E26-D26)*100</f>
        <v>-0.33997853966609637</v>
      </c>
    </row>
    <row r="27" spans="1:6" s="9" customFormat="1" ht="36.75" customHeight="1" x14ac:dyDescent="0.25">
      <c r="A27" s="357"/>
      <c r="B27" s="359" t="s">
        <v>418</v>
      </c>
      <c r="C27" s="141" t="s">
        <v>49</v>
      </c>
      <c r="D27" s="133">
        <v>587763.89</v>
      </c>
      <c r="E27" s="136">
        <f>'Matriz de Obj. Estrat.'!J6</f>
        <v>592537.75</v>
      </c>
      <c r="F27" s="142">
        <f>IFERROR(E27/D27-1,)</f>
        <v>8.1220709220499732E-3</v>
      </c>
    </row>
    <row r="28" spans="1:6" s="9" customFormat="1" ht="36.75" customHeight="1" x14ac:dyDescent="0.25">
      <c r="A28" s="357"/>
      <c r="B28" s="359"/>
      <c r="C28" s="141" t="s">
        <v>50</v>
      </c>
      <c r="D28" s="135">
        <f>IFERROR(D27/$D$20,0)</f>
        <v>0.10966641905622405</v>
      </c>
      <c r="E28" s="135">
        <f>IFERROR(E27/$E$20,0)</f>
        <v>0.10309602197319431</v>
      </c>
      <c r="F28" s="143">
        <f>(E28-D28)*100</f>
        <v>-0.6570397083029742</v>
      </c>
    </row>
    <row r="29" spans="1:6" s="9" customFormat="1" ht="36.75" customHeight="1" x14ac:dyDescent="0.25">
      <c r="A29" s="357"/>
      <c r="B29" s="359" t="s">
        <v>419</v>
      </c>
      <c r="C29" s="141" t="s">
        <v>49</v>
      </c>
      <c r="D29" s="133">
        <v>943480.72</v>
      </c>
      <c r="E29" s="136">
        <f>'Matriz de Obj. Estrat.'!J11</f>
        <v>352110.95</v>
      </c>
      <c r="F29" s="142">
        <f>IFERROR(E29/D29-1,)</f>
        <v>-0.62679581836076093</v>
      </c>
    </row>
    <row r="30" spans="1:6" s="9" customFormat="1" ht="36.75" customHeight="1" x14ac:dyDescent="0.25">
      <c r="A30" s="357"/>
      <c r="B30" s="359"/>
      <c r="C30" s="141" t="s">
        <v>50</v>
      </c>
      <c r="D30" s="135">
        <f>IFERROR(D29/$D$20,0)</f>
        <v>0.17603693212760652</v>
      </c>
      <c r="E30" s="135">
        <f>IFERROR(E29/$E$20,0)</f>
        <v>6.126400931957892E-2</v>
      </c>
      <c r="F30" s="143">
        <f>(E30-D30)*100</f>
        <v>-11.477292280802759</v>
      </c>
    </row>
    <row r="31" spans="1:6" s="9" customFormat="1" ht="36.75" customHeight="1" x14ac:dyDescent="0.25">
      <c r="A31" s="357"/>
      <c r="B31" s="359" t="s">
        <v>420</v>
      </c>
      <c r="C31" s="141" t="s">
        <v>49</v>
      </c>
      <c r="D31" s="133">
        <v>100000</v>
      </c>
      <c r="E31" s="136">
        <v>150000</v>
      </c>
      <c r="F31" s="142">
        <f>IFERROR(E31/D31-1,)</f>
        <v>0.5</v>
      </c>
    </row>
    <row r="32" spans="1:6" s="9" customFormat="1" ht="36.75" customHeight="1" x14ac:dyDescent="0.25">
      <c r="A32" s="357"/>
      <c r="B32" s="359"/>
      <c r="C32" s="141" t="s">
        <v>50</v>
      </c>
      <c r="D32" s="135">
        <f>IFERROR(D31/$D$20,0)</f>
        <v>1.8658243713512931E-2</v>
      </c>
      <c r="E32" s="135">
        <f>IFERROR(E31/$E$20,0)</f>
        <v>2.6098595905457749E-2</v>
      </c>
      <c r="F32" s="143">
        <f>(E32-D32)*100</f>
        <v>0.7440352191944819</v>
      </c>
    </row>
    <row r="33" spans="1:6" s="9" customFormat="1" ht="36.75" customHeight="1" x14ac:dyDescent="0.25">
      <c r="A33" s="357"/>
      <c r="B33" s="359" t="s">
        <v>421</v>
      </c>
      <c r="C33" s="141" t="s">
        <v>49</v>
      </c>
      <c r="D33" s="133">
        <f>'[1]Anexo 2. Limites Estratégicos'!$E$36</f>
        <v>0</v>
      </c>
      <c r="E33" s="133">
        <v>358000</v>
      </c>
      <c r="F33" s="142">
        <f>IFERROR(E33/D33-1,)</f>
        <v>0</v>
      </c>
    </row>
    <row r="34" spans="1:6" s="9" customFormat="1" ht="36.75" customHeight="1" x14ac:dyDescent="0.25">
      <c r="A34" s="357"/>
      <c r="B34" s="359"/>
      <c r="C34" s="141" t="s">
        <v>50</v>
      </c>
      <c r="D34" s="135">
        <f>IFERROR(D33/$D$20,0)</f>
        <v>0</v>
      </c>
      <c r="E34" s="135">
        <f>IFERROR(E33/$E$20,0)</f>
        <v>6.2288648894359158E-2</v>
      </c>
      <c r="F34" s="143">
        <f>(E34-D34)*100</f>
        <v>6.2288648894359158</v>
      </c>
    </row>
    <row r="35" spans="1:6" s="9" customFormat="1" ht="36.75" customHeight="1" x14ac:dyDescent="0.25">
      <c r="A35" s="357"/>
      <c r="B35" s="359" t="s">
        <v>422</v>
      </c>
      <c r="C35" s="141" t="s">
        <v>49</v>
      </c>
      <c r="D35" s="133">
        <v>356700</v>
      </c>
      <c r="E35" s="133">
        <f>'Quadro Geral'!L17+'Quadro Geral'!L25</f>
        <v>406220</v>
      </c>
      <c r="F35" s="142">
        <f>IFERROR(E35/D35-1,)</f>
        <v>0.13882814690215861</v>
      </c>
    </row>
    <row r="36" spans="1:6" s="9" customFormat="1" ht="36.75" customHeight="1" x14ac:dyDescent="0.25">
      <c r="A36" s="357"/>
      <c r="B36" s="359"/>
      <c r="C36" s="141" t="s">
        <v>50</v>
      </c>
      <c r="D36" s="135">
        <f>IFERROR(D35/$D$20,0)</f>
        <v>6.6553955326100617E-2</v>
      </c>
      <c r="E36" s="135">
        <f>IFERROR(E35/$E$20,0)</f>
        <v>7.0678477524766983E-2</v>
      </c>
      <c r="F36" s="143">
        <f>(E36-D36)*100</f>
        <v>0.41245221986663666</v>
      </c>
    </row>
    <row r="37" spans="1:6" s="9" customFormat="1" ht="36.75" customHeight="1" x14ac:dyDescent="0.25">
      <c r="A37" s="357"/>
      <c r="B37" s="359" t="s">
        <v>423</v>
      </c>
      <c r="C37" s="141" t="s">
        <v>49</v>
      </c>
      <c r="D37" s="133">
        <f>'Anexo 1. Fontes e Aplicações'!C32</f>
        <v>41000</v>
      </c>
      <c r="E37" s="133">
        <f>'Anexo 1. Fontes e Aplicações'!F32</f>
        <v>41000</v>
      </c>
      <c r="F37" s="142">
        <f>IFERROR(E37/D37-1,)</f>
        <v>0</v>
      </c>
    </row>
    <row r="38" spans="1:6" s="9" customFormat="1" ht="36.75" customHeight="1" x14ac:dyDescent="0.25">
      <c r="A38" s="357"/>
      <c r="B38" s="359"/>
      <c r="C38" s="141" t="s">
        <v>50</v>
      </c>
      <c r="D38" s="135">
        <f>IFERROR(D37/$D$20,0)</f>
        <v>7.6498799225403011E-3</v>
      </c>
      <c r="E38" s="135">
        <f>IFERROR(E37/$E$20,0)</f>
        <v>7.1336162141584511E-3</v>
      </c>
      <c r="F38" s="143">
        <f>(E38-D38)*100</f>
        <v>-5.1626370838184998E-2</v>
      </c>
    </row>
    <row r="39" spans="1:6" s="9" customFormat="1" x14ac:dyDescent="0.25">
      <c r="A39" s="362" t="s">
        <v>424</v>
      </c>
      <c r="B39" s="362"/>
      <c r="C39" s="72"/>
      <c r="D39" s="72"/>
      <c r="E39" s="72"/>
      <c r="F39" s="72"/>
    </row>
    <row r="40" spans="1:6" s="9" customFormat="1" x14ac:dyDescent="0.25">
      <c r="A40" s="72"/>
      <c r="B40" s="150"/>
      <c r="C40" s="72"/>
      <c r="D40" s="72"/>
      <c r="E40" s="72"/>
      <c r="F40" s="72"/>
    </row>
    <row r="41" spans="1:6" s="9" customFormat="1" ht="27.75" customHeight="1" x14ac:dyDescent="0.25">
      <c r="A41" s="308" t="s">
        <v>406</v>
      </c>
      <c r="B41" s="309"/>
      <c r="C41" s="309"/>
      <c r="D41" s="309"/>
      <c r="E41" s="309"/>
      <c r="F41" s="310"/>
    </row>
    <row r="42" spans="1:6" s="9" customFormat="1" ht="42.75" customHeight="1" x14ac:dyDescent="0.25">
      <c r="A42" s="311" t="s">
        <v>545</v>
      </c>
      <c r="B42" s="312"/>
      <c r="C42" s="312"/>
      <c r="D42" s="312"/>
      <c r="E42" s="312"/>
      <c r="F42" s="313"/>
    </row>
  </sheetData>
  <sheetProtection selectLockedCells="1"/>
  <mergeCells count="31">
    <mergeCell ref="B31:B32"/>
    <mergeCell ref="A42:F42"/>
    <mergeCell ref="A41:F41"/>
    <mergeCell ref="A39:B39"/>
    <mergeCell ref="B37:B38"/>
    <mergeCell ref="B35:B36"/>
    <mergeCell ref="A10:B11"/>
    <mergeCell ref="B33:B34"/>
    <mergeCell ref="A22:A38"/>
    <mergeCell ref="A15:A20"/>
    <mergeCell ref="B15:C15"/>
    <mergeCell ref="B16:C16"/>
    <mergeCell ref="B17:C17"/>
    <mergeCell ref="B20:C20"/>
    <mergeCell ref="A12:B13"/>
    <mergeCell ref="B19:C19"/>
    <mergeCell ref="B25:B26"/>
    <mergeCell ref="B18:C18"/>
    <mergeCell ref="B29:B30"/>
    <mergeCell ref="B22:C22"/>
    <mergeCell ref="B23:B24"/>
    <mergeCell ref="B27:B28"/>
    <mergeCell ref="B6:C6"/>
    <mergeCell ref="A2:F2"/>
    <mergeCell ref="A1:F1"/>
    <mergeCell ref="A9:C9"/>
    <mergeCell ref="A4:A7"/>
    <mergeCell ref="B4:C4"/>
    <mergeCell ref="B7:C7"/>
    <mergeCell ref="B5:C5"/>
    <mergeCell ref="A8:B8"/>
  </mergeCells>
  <phoneticPr fontId="6" type="noConversion"/>
  <conditionalFormatting sqref="D8:E8">
    <cfRule type="cellIs" dxfId="11" priority="18" operator="equal">
      <formula>TRUE</formula>
    </cfRule>
  </conditionalFormatting>
  <conditionalFormatting sqref="E24">
    <cfRule type="cellIs" dxfId="10" priority="8" operator="lessThan">
      <formula>0.25</formula>
    </cfRule>
  </conditionalFormatting>
  <conditionalFormatting sqref="E26">
    <cfRule type="cellIs" dxfId="9" priority="7" operator="lessThan">
      <formula>0.03</formula>
    </cfRule>
  </conditionalFormatting>
  <conditionalFormatting sqref="E28">
    <cfRule type="cellIs" dxfId="8" priority="6" operator="lessThan">
      <formula>0.1</formula>
    </cfRule>
  </conditionalFormatting>
  <conditionalFormatting sqref="E30">
    <cfRule type="cellIs" dxfId="7" priority="5" operator="lessThan">
      <formula>0.03</formula>
    </cfRule>
  </conditionalFormatting>
  <conditionalFormatting sqref="E32">
    <cfRule type="cellIs" dxfId="6" priority="4" operator="greaterThan">
      <formula>0.05</formula>
    </cfRule>
  </conditionalFormatting>
  <conditionalFormatting sqref="E34">
    <cfRule type="cellIs" dxfId="5" priority="3" operator="lessThan">
      <formula>0.02</formula>
    </cfRule>
  </conditionalFormatting>
  <conditionalFormatting sqref="E36">
    <cfRule type="cellIs" dxfId="4" priority="2" operator="lessThan">
      <formula>0.06</formula>
    </cfRule>
  </conditionalFormatting>
  <conditionalFormatting sqref="E38">
    <cfRule type="cellIs" dxfId="3" priority="1" operator="greaterThan">
      <formula>0.02</formula>
    </cfRule>
  </conditionalFormatting>
  <printOptions horizontalCentered="1" verticalCentered="1"/>
  <pageMargins left="0" right="0" top="0" bottom="0" header="0" footer="0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7</vt:i4>
      </vt:variant>
    </vt:vector>
  </HeadingPairs>
  <TitlesOfParts>
    <vt:vector size="18" baseType="lpstr">
      <vt:lpstr>Check List</vt:lpstr>
      <vt:lpstr>Orientações Iniciais</vt:lpstr>
      <vt:lpstr>Diretrizes - Resumo</vt:lpstr>
      <vt:lpstr>Matriz de Obj. Estrat.</vt:lpstr>
      <vt:lpstr>Mapa Estratégico e ODS</vt:lpstr>
      <vt:lpstr>Indicadores e Metas</vt:lpstr>
      <vt:lpstr>Quadro Geral</vt:lpstr>
      <vt:lpstr>Anexo 1. Fontes e Aplicações</vt:lpstr>
      <vt:lpstr>Anexo 2. Limites Estratégicos</vt:lpstr>
      <vt:lpstr>Anexo 3. Elemento de Despesas</vt:lpstr>
      <vt:lpstr>Validação de dados</vt:lpstr>
      <vt:lpstr>'Anexo 1. Fontes e Aplicações'!Area_de_impressao</vt:lpstr>
      <vt:lpstr>'Anexo 2. Limites Estratégicos'!Area_de_impressao</vt:lpstr>
      <vt:lpstr>'Check List'!Area_de_impressao</vt:lpstr>
      <vt:lpstr>'Indicadores e Metas'!Area_de_impressao</vt:lpstr>
      <vt:lpstr>'Mapa Estratégico e ODS'!Area_de_impressao</vt:lpstr>
      <vt:lpstr>'Matriz de Obj. Estrat.'!Area_de_impressao</vt:lpstr>
      <vt:lpstr>'Quadro Geral'!Area_de_impressao</vt:lpstr>
    </vt:vector>
  </TitlesOfParts>
  <Manager>Luiz Antonio Poletto</Manager>
  <Company>CAU/BR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Programação 2022</dc:subject>
  <dc:creator>GERPLAN-CAU/BR</dc:creator>
  <cp:lastModifiedBy>Ralfe Vinhas</cp:lastModifiedBy>
  <cp:lastPrinted>2024-07-17T12:39:51Z</cp:lastPrinted>
  <dcterms:created xsi:type="dcterms:W3CDTF">2013-07-30T15:20:59Z</dcterms:created>
  <dcterms:modified xsi:type="dcterms:W3CDTF">2024-09-18T17:46:39Z</dcterms:modified>
</cp:coreProperties>
</file>