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ralfe.vinhas\Desktop\Financeiro\Programação 2024\"/>
    </mc:Choice>
  </mc:AlternateContent>
  <bookViews>
    <workbookView xWindow="0" yWindow="0" windowWidth="28800" windowHeight="13020" tabRatio="884" firstSheet="3" activeTab="8"/>
  </bookViews>
  <sheets>
    <sheet name="Orientações Iniciais" sheetId="35" state="hidden" r:id="rId1"/>
    <sheet name="Diretrizes - Resumo" sheetId="40" state="hidden" r:id="rId2"/>
    <sheet name="Matriz de Obj. Estrat." sheetId="41" state="hidden" r:id="rId3"/>
    <sheet name="Mapa Estratégico e ODS" sheetId="36" r:id="rId4"/>
    <sheet name="Indicadores e Metas" sheetId="39" r:id="rId5"/>
    <sheet name="Quadro Geral" sheetId="15" r:id="rId6"/>
    <sheet name="Anexo 1. Fontes e Aplicações" sheetId="8" r:id="rId7"/>
    <sheet name="Anexo 2. Limites Estratégicos" sheetId="23" r:id="rId8"/>
    <sheet name="Anexo 3. Elemento de Despesas" sheetId="18" r:id="rId9"/>
    <sheet name="Validação de dados" sheetId="31" state="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xlfn_IFERROR">#N/A</definedName>
    <definedName name="_xlnm._FilterDatabase" localSheetId="8" hidden="1">'Anexo 3. Elemento de Despesas'!$A$5:$T$43</definedName>
    <definedName name="_xlnm._FilterDatabase" localSheetId="1" hidden="1">'Diretrizes - Resumo'!$A$3:$T$30</definedName>
    <definedName name="_xlnm._FilterDatabase" localSheetId="4" hidden="1">'Indicadores e Metas'!$A$29:$S$101</definedName>
    <definedName name="_xlnm._FilterDatabase" localSheetId="5" hidden="1">'Quadro Geral'!$A$7:$AE$42</definedName>
    <definedName name="A" localSheetId="1">#REF!</definedName>
    <definedName name="A" localSheetId="4">#REF!</definedName>
    <definedName name="A" localSheetId="2">#REF!</definedName>
    <definedName name="A" localSheetId="0">#REF!</definedName>
    <definedName name="A" localSheetId="5">#REF!</definedName>
    <definedName name="A">#REF!</definedName>
    <definedName name="Anexo" localSheetId="4">#REF!</definedName>
    <definedName name="Anexo" localSheetId="2">#REF!</definedName>
    <definedName name="Anexo">#REF!</definedName>
    <definedName name="Anexo_1.4.4" localSheetId="4">#REF!</definedName>
    <definedName name="Anexo_1.4.4" localSheetId="2">#REF!</definedName>
    <definedName name="Anexo_1.4.4">#REF!</definedName>
    <definedName name="ar">#N/A</definedName>
    <definedName name="_xlnm.Print_Area" localSheetId="6">'Anexo 1. Fontes e Aplicações'!$A$1:$F$35</definedName>
    <definedName name="_xlnm.Print_Area" localSheetId="7">'Anexo 2. Limites Estratégicos'!$A$1:$F$83</definedName>
    <definedName name="_xlnm.Print_Area" localSheetId="4">'Indicadores e Metas'!$A$1:$F$106</definedName>
    <definedName name="_xlnm.Print_Area" localSheetId="3">'Mapa Estratégico e ODS'!$A$1:$K$4</definedName>
    <definedName name="_xlnm.Print_Area" localSheetId="2">'Matriz de Obj. Estrat.'!$A$1:$K$19</definedName>
    <definedName name="_xlnm.Print_Area" localSheetId="5">'Quadro Geral'!$A$1:$L$44</definedName>
    <definedName name="asas" localSheetId="4">#REF!</definedName>
    <definedName name="asas" localSheetId="2">#REF!</definedName>
    <definedName name="asas">#REF!</definedName>
    <definedName name="ass" localSheetId="4">#REF!</definedName>
    <definedName name="ass" localSheetId="2">#REF!</definedName>
    <definedName name="ass">#REF!</definedName>
    <definedName name="_xlnm.Database" localSheetId="1">#REF!</definedName>
    <definedName name="_xlnm.Database" localSheetId="4">#REF!</definedName>
    <definedName name="_xlnm.Database" localSheetId="2">#REF!</definedName>
    <definedName name="_xlnm.Database" localSheetId="0">#REF!</definedName>
    <definedName name="_xlnm.Database" localSheetId="5">#REF!</definedName>
    <definedName name="_xlnm.Database">#REF!</definedName>
    <definedName name="banco_de_dados_sym" localSheetId="1">#REF!</definedName>
    <definedName name="banco_de_dados_sym" localSheetId="4">#REF!</definedName>
    <definedName name="banco_de_dados_sym" localSheetId="2">#REF!</definedName>
    <definedName name="banco_de_dados_sym">#REF!</definedName>
    <definedName name="Copia" localSheetId="4">#REF!</definedName>
    <definedName name="Copia" localSheetId="2">#REF!</definedName>
    <definedName name="Copia">#REF!</definedName>
    <definedName name="copia2" localSheetId="4">#REF!</definedName>
    <definedName name="copia2" localSheetId="2">#REF!</definedName>
    <definedName name="copia2">#REF!</definedName>
    <definedName name="_xlnm.Criteria" localSheetId="4">#REF!</definedName>
    <definedName name="_xlnm.Criteria" localSheetId="2">#REF!</definedName>
    <definedName name="_xlnm.Criteria">#REF!</definedName>
    <definedName name="dados" localSheetId="4">#REF!</definedName>
    <definedName name="dados" localSheetId="2">#REF!</definedName>
    <definedName name="dados">#REF!</definedName>
    <definedName name="Database" localSheetId="2">#REF!</definedName>
    <definedName name="Database">#REF!</definedName>
    <definedName name="DEZEMBRO" localSheetId="2">#REF!</definedName>
    <definedName name="DEZEMBRO">#REF!</definedName>
    <definedName name="huala" localSheetId="4">#REF!</definedName>
    <definedName name="huala" localSheetId="2">#REF!</definedName>
    <definedName name="huala">#REF!</definedName>
    <definedName name="kk" localSheetId="4">#REF!</definedName>
    <definedName name="kk" localSheetId="2">#REF!</definedName>
    <definedName name="kk">#REF!</definedName>
    <definedName name="Percentual5" localSheetId="1">#REF!</definedName>
    <definedName name="Percentual5">#REF!</definedName>
    <definedName name="PJ2anos" localSheetId="1">#REF!,#REF!</definedName>
    <definedName name="PJ2anos">#REF!,#REF!</definedName>
    <definedName name="PREs">#N/A</definedName>
    <definedName name="Presid">#N/A</definedName>
    <definedName name="X" localSheetId="2">#REF!</definedName>
    <definedName name="X">#REF!</definedName>
    <definedName name="XFE1048575" localSheetId="1">#REF!</definedName>
    <definedName name="XFE1048575" localSheetId="4">#REF!</definedName>
    <definedName name="XFE1048575" localSheetId="2">#REF!</definedName>
    <definedName name="XFE1048575">#REF!</definedName>
    <definedName name="XFe1048576" localSheetId="1">#REF!</definedName>
    <definedName name="XFe1048576" localSheetId="4">#REF!</definedName>
    <definedName name="XFe1048576" localSheetId="2">#REF!</definedName>
    <definedName name="XFe1048576">#REF!</definedName>
  </definedNames>
  <calcPr calcId="152511"/>
  <webPublishing vml="1" allowPng="1" targetScreenSize="1024x768" codePage="1252"/>
</workbook>
</file>

<file path=xl/calcChain.xml><?xml version="1.0" encoding="utf-8"?>
<calcChain xmlns="http://schemas.openxmlformats.org/spreadsheetml/2006/main">
  <c r="O21" i="18" l="1"/>
  <c r="O22" i="18"/>
  <c r="O23" i="18"/>
  <c r="F28" i="23" l="1"/>
  <c r="F19" i="23"/>
  <c r="F9" i="23"/>
  <c r="F10" i="23"/>
  <c r="K9" i="15"/>
  <c r="L9" i="15" s="1"/>
  <c r="K10" i="15"/>
  <c r="L10" i="15" s="1"/>
  <c r="K11" i="15"/>
  <c r="L11" i="15" s="1"/>
  <c r="K12" i="15"/>
  <c r="L12" i="15" s="1"/>
  <c r="K13" i="15"/>
  <c r="L13" i="15"/>
  <c r="K14" i="15"/>
  <c r="L14" i="15" s="1"/>
  <c r="K15" i="15"/>
  <c r="L15" i="15" s="1"/>
  <c r="K16" i="15"/>
  <c r="L16" i="15" s="1"/>
  <c r="K17" i="15"/>
  <c r="L17" i="15" s="1"/>
  <c r="K18" i="15"/>
  <c r="L18" i="15" s="1"/>
  <c r="K19" i="15"/>
  <c r="L19" i="15"/>
  <c r="K20" i="15"/>
  <c r="L20" i="15" s="1"/>
  <c r="K21" i="15"/>
  <c r="L21" i="15"/>
  <c r="K22" i="15"/>
  <c r="L22" i="15"/>
  <c r="K23" i="15"/>
  <c r="L23" i="15"/>
  <c r="K24" i="15"/>
  <c r="L24" i="15" s="1"/>
  <c r="K25" i="15"/>
  <c r="L25" i="15" s="1"/>
  <c r="K26" i="15"/>
  <c r="L26" i="15" s="1"/>
  <c r="K27" i="15"/>
  <c r="L27" i="15"/>
  <c r="K28" i="15"/>
  <c r="L28" i="15"/>
  <c r="K29" i="15"/>
  <c r="L29" i="15"/>
  <c r="K30" i="15"/>
  <c r="L30" i="15"/>
  <c r="K31" i="15"/>
  <c r="L31" i="15"/>
  <c r="K32" i="15"/>
  <c r="L32" i="15" s="1"/>
  <c r="K33" i="15"/>
  <c r="L33" i="15"/>
  <c r="K34" i="15"/>
  <c r="L34" i="15"/>
  <c r="K35" i="15"/>
  <c r="L35" i="15" s="1"/>
  <c r="K36" i="15"/>
  <c r="L36" i="15"/>
  <c r="K37" i="15"/>
  <c r="L37" i="15" s="1"/>
  <c r="K38" i="15"/>
  <c r="L38" i="15" s="1"/>
  <c r="K39" i="15"/>
  <c r="L39" i="15" s="1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9" i="8"/>
  <c r="F10" i="8"/>
  <c r="F11" i="8"/>
  <c r="F8" i="8"/>
  <c r="G44" i="23"/>
  <c r="G39" i="23"/>
  <c r="G38" i="23"/>
  <c r="G35" i="23"/>
  <c r="G33" i="23"/>
  <c r="G31" i="23"/>
  <c r="G30" i="23"/>
  <c r="G29" i="23"/>
  <c r="G28" i="23"/>
  <c r="G32" i="23"/>
  <c r="G34" i="23"/>
  <c r="G27" i="23"/>
  <c r="G20" i="23"/>
  <c r="G21" i="23"/>
  <c r="G22" i="23"/>
  <c r="G23" i="23"/>
  <c r="G14" i="23"/>
  <c r="G15" i="23"/>
  <c r="G16" i="23"/>
  <c r="G13" i="23"/>
  <c r="D13" i="23"/>
  <c r="G9" i="23"/>
  <c r="G10" i="23"/>
  <c r="C50" i="8" l="1"/>
  <c r="C41" i="8"/>
  <c r="I41" i="8"/>
  <c r="I42" i="8"/>
  <c r="I40" i="8"/>
  <c r="H41" i="8"/>
  <c r="H42" i="8"/>
  <c r="H40" i="8"/>
  <c r="D33" i="8"/>
  <c r="D32" i="8"/>
  <c r="D31" i="8"/>
  <c r="J7" i="8"/>
  <c r="J8" i="8"/>
  <c r="J21" i="8"/>
  <c r="H31" i="8"/>
  <c r="H32" i="8"/>
  <c r="H33" i="8"/>
  <c r="H8" i="8"/>
  <c r="H25" i="8"/>
  <c r="H19" i="8"/>
  <c r="AM4" i="40"/>
  <c r="AM5" i="40"/>
  <c r="AJ15" i="40" l="1"/>
  <c r="AJ24" i="40"/>
  <c r="AJ22" i="40"/>
  <c r="AJ20" i="40"/>
  <c r="AJ19" i="40"/>
  <c r="AJ13" i="40"/>
  <c r="AJ12" i="40"/>
  <c r="AJ9" i="40"/>
  <c r="AJ6" i="40"/>
  <c r="AJ4" i="40"/>
  <c r="J13" i="15" l="1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9" i="15"/>
  <c r="J10" i="15"/>
  <c r="J11" i="15"/>
  <c r="J12" i="15"/>
  <c r="J8" i="15"/>
  <c r="O38" i="15"/>
  <c r="O37" i="15"/>
  <c r="N37" i="15"/>
  <c r="M37" i="15"/>
  <c r="J40" i="15" l="1"/>
  <c r="T8" i="15"/>
  <c r="G26" i="23" l="1"/>
  <c r="G8" i="23"/>
  <c r="H12" i="8"/>
  <c r="H13" i="8"/>
  <c r="H15" i="8"/>
  <c r="H16" i="8"/>
  <c r="H17" i="8"/>
  <c r="H18" i="8"/>
  <c r="H20" i="8"/>
  <c r="H21" i="8"/>
  <c r="H23" i="8"/>
  <c r="H24" i="8"/>
  <c r="T38" i="15"/>
  <c r="P38" i="15"/>
  <c r="Q38" i="15"/>
  <c r="R38" i="15"/>
  <c r="S38" i="15"/>
  <c r="N38" i="15"/>
  <c r="M38" i="15"/>
  <c r="M39" i="15"/>
  <c r="T37" i="15"/>
  <c r="Q37" i="15"/>
  <c r="R37" i="15"/>
  <c r="S37" i="15"/>
  <c r="P37" i="15"/>
  <c r="T30" i="15"/>
  <c r="T31" i="15"/>
  <c r="T32" i="15"/>
  <c r="T33" i="15"/>
  <c r="T34" i="15"/>
  <c r="T35" i="15"/>
  <c r="T36" i="15"/>
  <c r="T29" i="15"/>
  <c r="P36" i="15"/>
  <c r="Q36" i="15"/>
  <c r="R36" i="15"/>
  <c r="S36" i="15"/>
  <c r="P35" i="15"/>
  <c r="Q35" i="15"/>
  <c r="R35" i="15"/>
  <c r="S35" i="15"/>
  <c r="P34" i="15"/>
  <c r="Q34" i="15"/>
  <c r="R34" i="15"/>
  <c r="S34" i="15"/>
  <c r="P33" i="15"/>
  <c r="Q33" i="15"/>
  <c r="R33" i="15"/>
  <c r="S33" i="15"/>
  <c r="P32" i="15"/>
  <c r="Q32" i="15"/>
  <c r="R32" i="15"/>
  <c r="S32" i="15"/>
  <c r="P31" i="15"/>
  <c r="Q31" i="15"/>
  <c r="R31" i="15"/>
  <c r="S31" i="15"/>
  <c r="P30" i="15"/>
  <c r="Q30" i="15"/>
  <c r="R30" i="15"/>
  <c r="S30" i="15"/>
  <c r="O30" i="15"/>
  <c r="O31" i="15"/>
  <c r="O32" i="15"/>
  <c r="O33" i="15"/>
  <c r="O34" i="15"/>
  <c r="O35" i="15"/>
  <c r="O36" i="15"/>
  <c r="O39" i="15"/>
  <c r="N30" i="15"/>
  <c r="N31" i="15"/>
  <c r="N32" i="15"/>
  <c r="N33" i="15"/>
  <c r="N34" i="15"/>
  <c r="N35" i="15"/>
  <c r="N36" i="15"/>
  <c r="N39" i="15"/>
  <c r="M30" i="15"/>
  <c r="M31" i="15"/>
  <c r="M32" i="15"/>
  <c r="M33" i="15"/>
  <c r="M34" i="15"/>
  <c r="M35" i="15"/>
  <c r="M36" i="15"/>
  <c r="T28" i="15"/>
  <c r="P29" i="15"/>
  <c r="Q29" i="15"/>
  <c r="R29" i="15"/>
  <c r="S29" i="15"/>
  <c r="P28" i="15"/>
  <c r="Q28" i="15"/>
  <c r="R28" i="15"/>
  <c r="S28" i="15"/>
  <c r="O28" i="15"/>
  <c r="O29" i="15"/>
  <c r="N29" i="15"/>
  <c r="N28" i="15"/>
  <c r="M28" i="15"/>
  <c r="M29" i="15"/>
  <c r="T27" i="15"/>
  <c r="P27" i="15"/>
  <c r="Q27" i="15"/>
  <c r="R27" i="15"/>
  <c r="S27" i="15"/>
  <c r="O27" i="15"/>
  <c r="N27" i="15"/>
  <c r="M27" i="15"/>
  <c r="T26" i="15"/>
  <c r="P26" i="15"/>
  <c r="Q26" i="15"/>
  <c r="R26" i="15"/>
  <c r="S26" i="15"/>
  <c r="O26" i="15"/>
  <c r="N26" i="15"/>
  <c r="M26" i="15"/>
  <c r="T25" i="15"/>
  <c r="P25" i="15"/>
  <c r="Q25" i="15"/>
  <c r="R25" i="15"/>
  <c r="S25" i="15"/>
  <c r="O25" i="15"/>
  <c r="N25" i="15"/>
  <c r="M25" i="15"/>
  <c r="T24" i="15"/>
  <c r="P24" i="15"/>
  <c r="Q24" i="15"/>
  <c r="R24" i="15"/>
  <c r="S24" i="15"/>
  <c r="O24" i="15"/>
  <c r="N24" i="15"/>
  <c r="M24" i="15"/>
  <c r="T23" i="15"/>
  <c r="P23" i="15"/>
  <c r="Q23" i="15"/>
  <c r="R23" i="15"/>
  <c r="S23" i="15"/>
  <c r="O23" i="15"/>
  <c r="N23" i="15"/>
  <c r="M23" i="15"/>
  <c r="T22" i="15"/>
  <c r="P22" i="15"/>
  <c r="Q22" i="15"/>
  <c r="R22" i="15"/>
  <c r="S22" i="15"/>
  <c r="O22" i="15"/>
  <c r="N22" i="15"/>
  <c r="M22" i="15"/>
  <c r="T21" i="15"/>
  <c r="P21" i="15"/>
  <c r="Q21" i="15"/>
  <c r="R21" i="15"/>
  <c r="S21" i="15"/>
  <c r="O21" i="15"/>
  <c r="N21" i="15"/>
  <c r="M21" i="15"/>
  <c r="T20" i="15"/>
  <c r="P20" i="15"/>
  <c r="Q20" i="15"/>
  <c r="R20" i="15"/>
  <c r="S20" i="15"/>
  <c r="O20" i="15"/>
  <c r="N20" i="15"/>
  <c r="T9" i="15"/>
  <c r="T10" i="15"/>
  <c r="T11" i="15"/>
  <c r="T12" i="15"/>
  <c r="T13" i="15"/>
  <c r="T14" i="15"/>
  <c r="T15" i="15"/>
  <c r="T16" i="15"/>
  <c r="T17" i="15"/>
  <c r="T18" i="15"/>
  <c r="T19" i="15"/>
  <c r="S9" i="15"/>
  <c r="S10" i="15"/>
  <c r="S11" i="15"/>
  <c r="S12" i="15"/>
  <c r="S13" i="15"/>
  <c r="S14" i="15"/>
  <c r="S15" i="15"/>
  <c r="S16" i="15"/>
  <c r="S17" i="15"/>
  <c r="S18" i="15"/>
  <c r="S19" i="15"/>
  <c r="R9" i="15"/>
  <c r="R10" i="15"/>
  <c r="R11" i="15"/>
  <c r="R12" i="15"/>
  <c r="R13" i="15"/>
  <c r="R14" i="15"/>
  <c r="R15" i="15"/>
  <c r="R16" i="15"/>
  <c r="R17" i="15"/>
  <c r="R18" i="15"/>
  <c r="R19" i="15"/>
  <c r="Q9" i="15"/>
  <c r="Q10" i="15"/>
  <c r="Q11" i="15"/>
  <c r="Q12" i="15"/>
  <c r="Q13" i="15"/>
  <c r="Q14" i="15"/>
  <c r="Q15" i="15"/>
  <c r="Q16" i="15"/>
  <c r="Q17" i="15"/>
  <c r="Q18" i="15"/>
  <c r="Q19" i="15"/>
  <c r="P9" i="15"/>
  <c r="P10" i="15"/>
  <c r="P11" i="15"/>
  <c r="P12" i="15"/>
  <c r="P13" i="15"/>
  <c r="P14" i="15"/>
  <c r="P15" i="15"/>
  <c r="P16" i="15"/>
  <c r="P17" i="15"/>
  <c r="P18" i="15"/>
  <c r="P19" i="15"/>
  <c r="O9" i="15"/>
  <c r="O10" i="15"/>
  <c r="O11" i="15"/>
  <c r="O12" i="15"/>
  <c r="O13" i="15"/>
  <c r="O14" i="15"/>
  <c r="O15" i="15"/>
  <c r="O16" i="15"/>
  <c r="O17" i="15"/>
  <c r="O18" i="15"/>
  <c r="O19" i="15"/>
  <c r="P8" i="15"/>
  <c r="Q8" i="15"/>
  <c r="R8" i="15"/>
  <c r="S8" i="15"/>
  <c r="O8" i="15"/>
  <c r="N9" i="15"/>
  <c r="N10" i="15"/>
  <c r="N11" i="15"/>
  <c r="N12" i="15"/>
  <c r="N13" i="15"/>
  <c r="N14" i="15"/>
  <c r="N15" i="15"/>
  <c r="N16" i="15"/>
  <c r="N17" i="15"/>
  <c r="N18" i="15"/>
  <c r="N19" i="15"/>
  <c r="M20" i="15"/>
  <c r="M9" i="15"/>
  <c r="M10" i="15"/>
  <c r="M11" i="15"/>
  <c r="M12" i="15"/>
  <c r="M13" i="15"/>
  <c r="M14" i="15"/>
  <c r="M15" i="15"/>
  <c r="M16" i="15"/>
  <c r="M17" i="15"/>
  <c r="M18" i="15"/>
  <c r="M19" i="15"/>
  <c r="N8" i="15"/>
  <c r="M8" i="15"/>
  <c r="E34" i="23" l="1"/>
  <c r="F34" i="23" s="1"/>
  <c r="C3" i="41" l="1"/>
  <c r="C4" i="41"/>
  <c r="G39" i="18"/>
  <c r="H39" i="18"/>
  <c r="I39" i="18"/>
  <c r="J39" i="18"/>
  <c r="L39" i="18"/>
  <c r="M39" i="18"/>
  <c r="N39" i="18"/>
  <c r="P39" i="18"/>
  <c r="O8" i="18"/>
  <c r="Q8" i="18" s="1"/>
  <c r="O9" i="18"/>
  <c r="Q9" i="18" s="1"/>
  <c r="O10" i="18"/>
  <c r="Q10" i="18" s="1"/>
  <c r="O11" i="18"/>
  <c r="Q11" i="18" s="1"/>
  <c r="O12" i="18"/>
  <c r="Q12" i="18" s="1"/>
  <c r="O13" i="18"/>
  <c r="Q13" i="18" s="1"/>
  <c r="O14" i="18"/>
  <c r="Q14" i="18" s="1"/>
  <c r="O15" i="18"/>
  <c r="Q15" i="18" s="1"/>
  <c r="O16" i="18"/>
  <c r="Q16" i="18" s="1"/>
  <c r="O17" i="18"/>
  <c r="Q17" i="18" s="1"/>
  <c r="O18" i="18"/>
  <c r="Q18" i="18" s="1"/>
  <c r="O19" i="18"/>
  <c r="Q19" i="18" s="1"/>
  <c r="O20" i="18"/>
  <c r="Q20" i="18" s="1"/>
  <c r="Q21" i="18"/>
  <c r="Q22" i="18"/>
  <c r="O24" i="18"/>
  <c r="Q24" i="18" s="1"/>
  <c r="O25" i="18"/>
  <c r="Q25" i="18" s="1"/>
  <c r="O26" i="18"/>
  <c r="Q26" i="18" s="1"/>
  <c r="O27" i="18"/>
  <c r="Q27" i="18" s="1"/>
  <c r="O28" i="18"/>
  <c r="Q28" i="18" s="1"/>
  <c r="O29" i="18"/>
  <c r="Q29" i="18" s="1"/>
  <c r="O30" i="18"/>
  <c r="Q30" i="18" s="1"/>
  <c r="O31" i="18"/>
  <c r="Q31" i="18" s="1"/>
  <c r="O32" i="18"/>
  <c r="Q32" i="18" s="1"/>
  <c r="O33" i="18"/>
  <c r="Q33" i="18" s="1"/>
  <c r="O34" i="18"/>
  <c r="Q34" i="18" s="1"/>
  <c r="O35" i="18"/>
  <c r="Q35" i="18" s="1"/>
  <c r="O36" i="18"/>
  <c r="Q36" i="18" s="1"/>
  <c r="O37" i="18"/>
  <c r="Q37" i="18" s="1"/>
  <c r="O38" i="18"/>
  <c r="Q38" i="18" s="1"/>
  <c r="A8" i="18"/>
  <c r="B8" i="18"/>
  <c r="C8" i="18"/>
  <c r="D8" i="18"/>
  <c r="S8" i="18" s="1"/>
  <c r="A9" i="18"/>
  <c r="B9" i="18"/>
  <c r="C9" i="18"/>
  <c r="D9" i="18"/>
  <c r="S9" i="18" s="1"/>
  <c r="A10" i="18"/>
  <c r="B10" i="18"/>
  <c r="C10" i="18"/>
  <c r="D10" i="18"/>
  <c r="A11" i="18"/>
  <c r="B11" i="18"/>
  <c r="C11" i="18"/>
  <c r="D11" i="18"/>
  <c r="S11" i="18" s="1"/>
  <c r="A12" i="18"/>
  <c r="B12" i="18"/>
  <c r="C12" i="18"/>
  <c r="D12" i="18"/>
  <c r="A13" i="18"/>
  <c r="B13" i="18"/>
  <c r="C13" i="18"/>
  <c r="D13" i="18"/>
  <c r="S13" i="18" s="1"/>
  <c r="A14" i="18"/>
  <c r="B14" i="18"/>
  <c r="C14" i="18"/>
  <c r="D14" i="18"/>
  <c r="A15" i="18"/>
  <c r="B15" i="18"/>
  <c r="C15" i="18"/>
  <c r="D15" i="18"/>
  <c r="S15" i="18" s="1"/>
  <c r="A16" i="18"/>
  <c r="B16" i="18"/>
  <c r="C16" i="18"/>
  <c r="D16" i="18"/>
  <c r="S16" i="18" s="1"/>
  <c r="A17" i="18"/>
  <c r="B17" i="18"/>
  <c r="C17" i="18"/>
  <c r="D17" i="18"/>
  <c r="S17" i="18" s="1"/>
  <c r="A18" i="18"/>
  <c r="B18" i="18"/>
  <c r="C18" i="18"/>
  <c r="D18" i="18"/>
  <c r="A19" i="18"/>
  <c r="B19" i="18"/>
  <c r="C19" i="18"/>
  <c r="D19" i="18"/>
  <c r="S19" i="18" s="1"/>
  <c r="A20" i="18"/>
  <c r="B20" i="18"/>
  <c r="C20" i="18"/>
  <c r="D20" i="18"/>
  <c r="A21" i="18"/>
  <c r="B21" i="18"/>
  <c r="C21" i="18"/>
  <c r="D21" i="18"/>
  <c r="A22" i="18"/>
  <c r="B22" i="18"/>
  <c r="C22" i="18"/>
  <c r="D22" i="18"/>
  <c r="A23" i="18"/>
  <c r="B23" i="18"/>
  <c r="C23" i="18"/>
  <c r="D23" i="18"/>
  <c r="A24" i="18"/>
  <c r="B24" i="18"/>
  <c r="C24" i="18"/>
  <c r="D24" i="18"/>
  <c r="S24" i="18" s="1"/>
  <c r="A25" i="18"/>
  <c r="B25" i="18"/>
  <c r="C25" i="18"/>
  <c r="D25" i="18"/>
  <c r="S25" i="18" s="1"/>
  <c r="A26" i="18"/>
  <c r="B26" i="18"/>
  <c r="C26" i="18"/>
  <c r="D26" i="18"/>
  <c r="A27" i="18"/>
  <c r="B27" i="18"/>
  <c r="C27" i="18"/>
  <c r="D27" i="18"/>
  <c r="A28" i="18"/>
  <c r="B28" i="18"/>
  <c r="C28" i="18"/>
  <c r="D28" i="18"/>
  <c r="A29" i="18"/>
  <c r="B29" i="18"/>
  <c r="C29" i="18"/>
  <c r="D29" i="18"/>
  <c r="S29" i="18" s="1"/>
  <c r="A30" i="18"/>
  <c r="B30" i="18"/>
  <c r="C30" i="18"/>
  <c r="D30" i="18"/>
  <c r="A31" i="18"/>
  <c r="B31" i="18"/>
  <c r="C31" i="18"/>
  <c r="D31" i="18"/>
  <c r="A32" i="18"/>
  <c r="B32" i="18"/>
  <c r="C32" i="18"/>
  <c r="D32" i="18"/>
  <c r="S32" i="18" s="1"/>
  <c r="A33" i="18"/>
  <c r="B33" i="18"/>
  <c r="C33" i="18"/>
  <c r="D33" i="18"/>
  <c r="S33" i="18" s="1"/>
  <c r="A34" i="18"/>
  <c r="B34" i="18"/>
  <c r="C34" i="18"/>
  <c r="D34" i="18"/>
  <c r="A35" i="18"/>
  <c r="B35" i="18"/>
  <c r="C35" i="18"/>
  <c r="D35" i="18"/>
  <c r="A36" i="18"/>
  <c r="B36" i="18"/>
  <c r="C36" i="18"/>
  <c r="D36" i="18"/>
  <c r="A37" i="18"/>
  <c r="B37" i="18"/>
  <c r="C37" i="18"/>
  <c r="D37" i="18"/>
  <c r="S37" i="18" s="1"/>
  <c r="A38" i="18"/>
  <c r="B38" i="18"/>
  <c r="C38" i="18"/>
  <c r="D38" i="18"/>
  <c r="E31" i="8"/>
  <c r="F31" i="8" s="1"/>
  <c r="E32" i="8"/>
  <c r="F32" i="8" s="1"/>
  <c r="E33" i="8"/>
  <c r="F33" i="8" s="1"/>
  <c r="E12" i="8"/>
  <c r="E13" i="8"/>
  <c r="E15" i="8"/>
  <c r="E16" i="8"/>
  <c r="E17" i="8"/>
  <c r="E18" i="8"/>
  <c r="E19" i="8"/>
  <c r="E20" i="8"/>
  <c r="E21" i="8"/>
  <c r="E23" i="8"/>
  <c r="E24" i="8"/>
  <c r="F101" i="39"/>
  <c r="E101" i="39"/>
  <c r="F97" i="39"/>
  <c r="E97" i="39"/>
  <c r="F94" i="39"/>
  <c r="E94" i="39"/>
  <c r="F87" i="39"/>
  <c r="E87" i="39"/>
  <c r="F76" i="39"/>
  <c r="E76" i="39"/>
  <c r="F69" i="39"/>
  <c r="E69" i="39"/>
  <c r="F62" i="39"/>
  <c r="E62" i="39"/>
  <c r="F55" i="39"/>
  <c r="E55" i="39"/>
  <c r="F50" i="39"/>
  <c r="E50" i="39"/>
  <c r="F48" i="39"/>
  <c r="E48" i="39"/>
  <c r="F39" i="39"/>
  <c r="E39" i="39"/>
  <c r="F32" i="39"/>
  <c r="E32" i="39"/>
  <c r="F11" i="39"/>
  <c r="E11" i="39"/>
  <c r="E40" i="23"/>
  <c r="F40" i="23" s="1"/>
  <c r="AI21" i="40"/>
  <c r="S35" i="18" l="1"/>
  <c r="S34" i="18"/>
  <c r="S27" i="18"/>
  <c r="S21" i="18"/>
  <c r="S31" i="18"/>
  <c r="S26" i="18"/>
  <c r="S22" i="18"/>
  <c r="S14" i="18"/>
  <c r="S28" i="18"/>
  <c r="S18" i="18"/>
  <c r="S12" i="18"/>
  <c r="S38" i="18"/>
  <c r="S30" i="18"/>
  <c r="S36" i="18"/>
  <c r="S20" i="18"/>
  <c r="S10" i="18"/>
  <c r="E12" i="23"/>
  <c r="D12" i="23"/>
  <c r="E7" i="23"/>
  <c r="D7" i="23"/>
  <c r="E25" i="23"/>
  <c r="D25" i="23"/>
  <c r="I40" i="15" l="1"/>
  <c r="H40" i="15"/>
  <c r="M41" i="15" s="1"/>
  <c r="O7" i="18"/>
  <c r="K8" i="15"/>
  <c r="K40" i="15" s="1"/>
  <c r="L40" i="15" l="1"/>
  <c r="Q7" i="18"/>
  <c r="L8" i="15"/>
  <c r="B7" i="18"/>
  <c r="B5" i="18"/>
  <c r="A2" i="23"/>
  <c r="A2" i="8"/>
  <c r="A2" i="18"/>
  <c r="C28" i="8"/>
  <c r="H28" i="8" s="1"/>
  <c r="E42" i="8"/>
  <c r="D30" i="8"/>
  <c r="D29" i="8"/>
  <c r="C30" i="8"/>
  <c r="H30" i="8" s="1"/>
  <c r="C29" i="8"/>
  <c r="H29" i="8" s="1"/>
  <c r="D28" i="8"/>
  <c r="D14" i="8"/>
  <c r="D11" i="8"/>
  <c r="E29" i="8" l="1"/>
  <c r="F29" i="8" s="1"/>
  <c r="E30" i="8"/>
  <c r="F30" i="8" s="1"/>
  <c r="E28" i="8"/>
  <c r="F28" i="8" s="1"/>
  <c r="B53" i="8"/>
  <c r="D10" i="8"/>
  <c r="D11" i="40"/>
  <c r="D9" i="8" l="1"/>
  <c r="D5" i="40"/>
  <c r="G5" i="40"/>
  <c r="D6" i="40"/>
  <c r="D7" i="40"/>
  <c r="G7" i="40"/>
  <c r="D8" i="40"/>
  <c r="G8" i="40"/>
  <c r="D9" i="40"/>
  <c r="G9" i="40"/>
  <c r="D10" i="40"/>
  <c r="D12" i="40"/>
  <c r="G12" i="40"/>
  <c r="D13" i="40"/>
  <c r="G13" i="40"/>
  <c r="D14" i="40"/>
  <c r="D15" i="40"/>
  <c r="D16" i="40"/>
  <c r="G16" i="40"/>
  <c r="D17" i="40"/>
  <c r="G17" i="40"/>
  <c r="D18" i="40"/>
  <c r="D19" i="40"/>
  <c r="D20" i="40"/>
  <c r="G20" i="40"/>
  <c r="D21" i="40"/>
  <c r="G21" i="40"/>
  <c r="D22" i="40"/>
  <c r="D23" i="40"/>
  <c r="D24" i="40"/>
  <c r="G24" i="40"/>
  <c r="D25" i="40"/>
  <c r="G25" i="40"/>
  <c r="D26" i="40"/>
  <c r="D27" i="40"/>
  <c r="D28" i="40"/>
  <c r="G28" i="40"/>
  <c r="D29" i="40"/>
  <c r="G29" i="40"/>
  <c r="D30" i="40"/>
  <c r="T8" i="18"/>
  <c r="T9" i="18"/>
  <c r="T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T37" i="18"/>
  <c r="T38" i="18"/>
  <c r="T7" i="18"/>
  <c r="D40" i="23"/>
  <c r="C32" i="40"/>
  <c r="D32" i="40" s="1"/>
  <c r="E32" i="40" s="1"/>
  <c r="F32" i="40" s="1"/>
  <c r="G32" i="40" s="1"/>
  <c r="H32" i="40" s="1"/>
  <c r="I32" i="40" s="1"/>
  <c r="J32" i="40" s="1"/>
  <c r="K32" i="40" s="1"/>
  <c r="L32" i="40" s="1"/>
  <c r="M32" i="40" s="1"/>
  <c r="N32" i="40" s="1"/>
  <c r="O32" i="40" s="1"/>
  <c r="P32" i="40" s="1"/>
  <c r="Q32" i="40" s="1"/>
  <c r="R32" i="40" s="1"/>
  <c r="S32" i="40" s="1"/>
  <c r="T32" i="40" s="1"/>
  <c r="U32" i="40" s="1"/>
  <c r="V32" i="40" s="1"/>
  <c r="W32" i="40" s="1"/>
  <c r="X32" i="40" s="1"/>
  <c r="Y32" i="40" s="1"/>
  <c r="Z32" i="40" s="1"/>
  <c r="AA32" i="40" s="1"/>
  <c r="D4" i="41"/>
  <c r="E4" i="41"/>
  <c r="F4" i="41"/>
  <c r="G4" i="41"/>
  <c r="H4" i="41"/>
  <c r="C5" i="41"/>
  <c r="D5" i="41"/>
  <c r="E5" i="41"/>
  <c r="F5" i="41"/>
  <c r="G5" i="41"/>
  <c r="H5" i="41"/>
  <c r="C6" i="41"/>
  <c r="D6" i="41"/>
  <c r="E6" i="41"/>
  <c r="F6" i="41"/>
  <c r="G6" i="41"/>
  <c r="H6" i="41"/>
  <c r="C7" i="41"/>
  <c r="D7" i="41"/>
  <c r="E7" i="41"/>
  <c r="F7" i="41"/>
  <c r="G7" i="41"/>
  <c r="H7" i="41"/>
  <c r="C8" i="41"/>
  <c r="D8" i="41"/>
  <c r="E8" i="41"/>
  <c r="F8" i="41"/>
  <c r="G8" i="41"/>
  <c r="H8" i="41"/>
  <c r="C9" i="41"/>
  <c r="D9" i="41"/>
  <c r="E9" i="41"/>
  <c r="F9" i="41"/>
  <c r="G9" i="41"/>
  <c r="H9" i="41"/>
  <c r="C10" i="41"/>
  <c r="D10" i="41"/>
  <c r="E10" i="41"/>
  <c r="F10" i="41"/>
  <c r="G10" i="41"/>
  <c r="H10" i="41"/>
  <c r="C11" i="41"/>
  <c r="D11" i="41"/>
  <c r="E11" i="41"/>
  <c r="F11" i="41"/>
  <c r="G11" i="41"/>
  <c r="H11" i="41"/>
  <c r="C12" i="41"/>
  <c r="D12" i="41"/>
  <c r="E12" i="41"/>
  <c r="F12" i="41"/>
  <c r="G12" i="41"/>
  <c r="H12" i="41"/>
  <c r="C13" i="41"/>
  <c r="D13" i="41"/>
  <c r="E13" i="41"/>
  <c r="F13" i="41"/>
  <c r="G13" i="41"/>
  <c r="H13" i="41"/>
  <c r="C14" i="41"/>
  <c r="D14" i="41"/>
  <c r="E14" i="41"/>
  <c r="F14" i="41"/>
  <c r="G14" i="41"/>
  <c r="H14" i="41"/>
  <c r="C15" i="41"/>
  <c r="D15" i="41"/>
  <c r="E15" i="41"/>
  <c r="F15" i="41"/>
  <c r="G15" i="41"/>
  <c r="H15" i="41"/>
  <c r="C16" i="41"/>
  <c r="D16" i="41"/>
  <c r="E16" i="41"/>
  <c r="F16" i="41"/>
  <c r="G16" i="41"/>
  <c r="H16" i="41"/>
  <c r="C17" i="41"/>
  <c r="D17" i="41"/>
  <c r="E17" i="41"/>
  <c r="F17" i="41"/>
  <c r="G17" i="41"/>
  <c r="H17" i="41"/>
  <c r="C18" i="41"/>
  <c r="D18" i="41"/>
  <c r="E18" i="41"/>
  <c r="F18" i="41"/>
  <c r="G18" i="41"/>
  <c r="H18" i="41"/>
  <c r="H3" i="41"/>
  <c r="G3" i="41"/>
  <c r="F3" i="41"/>
  <c r="E3" i="41"/>
  <c r="D3" i="41"/>
  <c r="G40" i="23" l="1"/>
  <c r="I4" i="41"/>
  <c r="AB32" i="40"/>
  <c r="AC32" i="40" s="1"/>
  <c r="AD32" i="40" s="1"/>
  <c r="AE32" i="40" s="1"/>
  <c r="AF32" i="40" s="1"/>
  <c r="D8" i="8"/>
  <c r="AL8" i="40"/>
  <c r="B50" i="8" s="1"/>
  <c r="B54" i="8" s="1"/>
  <c r="AI23" i="40"/>
  <c r="AI11" i="40"/>
  <c r="AI16" i="40"/>
  <c r="AI22" i="40"/>
  <c r="AI10" i="40"/>
  <c r="AL6" i="40"/>
  <c r="AI8" i="40"/>
  <c r="AL5" i="40"/>
  <c r="AI20" i="40"/>
  <c r="AI7" i="40"/>
  <c r="AL4" i="40"/>
  <c r="AI19" i="40"/>
  <c r="AL3" i="40"/>
  <c r="AI15" i="40"/>
  <c r="J20" i="8" s="1"/>
  <c r="K20" i="8" s="1"/>
  <c r="AI27" i="40"/>
  <c r="AI13" i="40"/>
  <c r="AI24" i="40"/>
  <c r="AI12" i="40"/>
  <c r="G30" i="40"/>
  <c r="G26" i="40"/>
  <c r="G22" i="40"/>
  <c r="G18" i="40"/>
  <c r="G14" i="40"/>
  <c r="G10" i="40"/>
  <c r="G6" i="40"/>
  <c r="G27" i="40"/>
  <c r="G23" i="40"/>
  <c r="G19" i="40"/>
  <c r="G15" i="40"/>
  <c r="G11" i="40"/>
  <c r="J11" i="40" s="1"/>
  <c r="J9" i="41"/>
  <c r="I7" i="41"/>
  <c r="J5" i="41"/>
  <c r="E26" i="23" s="1"/>
  <c r="F26" i="23" s="1"/>
  <c r="J15" i="41"/>
  <c r="K21" i="41" s="1"/>
  <c r="J17" i="41"/>
  <c r="J13" i="41"/>
  <c r="J11" i="41"/>
  <c r="E32" i="23" s="1"/>
  <c r="F32" i="23" s="1"/>
  <c r="J7" i="41"/>
  <c r="I8" i="41"/>
  <c r="I11" i="41"/>
  <c r="I12" i="41"/>
  <c r="I16" i="41"/>
  <c r="I15" i="41"/>
  <c r="I9" i="41"/>
  <c r="I5" i="41"/>
  <c r="I13" i="41"/>
  <c r="I14" i="41"/>
  <c r="I10" i="41"/>
  <c r="I6" i="41"/>
  <c r="I18" i="41"/>
  <c r="J18" i="41"/>
  <c r="J16" i="41"/>
  <c r="J14" i="41"/>
  <c r="J12" i="41"/>
  <c r="J10" i="41"/>
  <c r="J8" i="41"/>
  <c r="J6" i="41"/>
  <c r="E30" i="23" s="1"/>
  <c r="F30" i="23" s="1"/>
  <c r="J4" i="41"/>
  <c r="I17" i="41"/>
  <c r="J3" i="41"/>
  <c r="I3" i="41"/>
  <c r="D19" i="41"/>
  <c r="I28" i="8" s="1"/>
  <c r="C19" i="41"/>
  <c r="F36" i="23" l="1"/>
  <c r="E38" i="23"/>
  <c r="F38" i="23" s="1"/>
  <c r="L20" i="8"/>
  <c r="E15" i="23"/>
  <c r="F15" i="23" s="1"/>
  <c r="AI9" i="40"/>
  <c r="F19" i="41"/>
  <c r="E19" i="41"/>
  <c r="I19" i="41" l="1"/>
  <c r="J19" i="41"/>
  <c r="G19" i="41"/>
  <c r="H19" i="41"/>
  <c r="I30" i="8" s="1"/>
  <c r="K3" i="41" l="1"/>
  <c r="K5" i="41"/>
  <c r="K18" i="41"/>
  <c r="K10" i="41"/>
  <c r="K16" i="41"/>
  <c r="K4" i="41"/>
  <c r="K12" i="41"/>
  <c r="K13" i="41"/>
  <c r="K6" i="41"/>
  <c r="K8" i="41"/>
  <c r="K17" i="41"/>
  <c r="K9" i="41"/>
  <c r="K7" i="41"/>
  <c r="K11" i="41"/>
  <c r="K14" i="41"/>
  <c r="K15" i="41"/>
  <c r="K19" i="41" l="1"/>
  <c r="J15" i="8" l="1"/>
  <c r="AL7" i="40"/>
  <c r="J23" i="8" l="1"/>
  <c r="L15" i="8"/>
  <c r="K15" i="8"/>
  <c r="G4" i="40"/>
  <c r="J12" i="8"/>
  <c r="J17" i="8"/>
  <c r="J18" i="8"/>
  <c r="J13" i="8"/>
  <c r="J6" i="40"/>
  <c r="J24" i="40"/>
  <c r="J8" i="40"/>
  <c r="J25" i="40"/>
  <c r="J22" i="40"/>
  <c r="J9" i="40"/>
  <c r="D4" i="40"/>
  <c r="J29" i="40"/>
  <c r="J23" i="40"/>
  <c r="J17" i="40"/>
  <c r="J7" i="40"/>
  <c r="J5" i="40"/>
  <c r="J27" i="40"/>
  <c r="J19" i="40"/>
  <c r="J18" i="40"/>
  <c r="J16" i="40"/>
  <c r="J15" i="40"/>
  <c r="J13" i="40"/>
  <c r="J12" i="40"/>
  <c r="J10" i="40"/>
  <c r="J21" i="40"/>
  <c r="J20" i="40"/>
  <c r="J30" i="40"/>
  <c r="J4" i="40" l="1"/>
  <c r="L23" i="8"/>
  <c r="K23" i="8"/>
  <c r="L13" i="8"/>
  <c r="K13" i="8"/>
  <c r="L17" i="8"/>
  <c r="K17" i="8"/>
  <c r="K18" i="8"/>
  <c r="L18" i="8"/>
  <c r="J11" i="8"/>
  <c r="K12" i="8"/>
  <c r="L12" i="8"/>
  <c r="J16" i="8"/>
  <c r="AI6" i="40"/>
  <c r="J28" i="40"/>
  <c r="J26" i="40"/>
  <c r="J14" i="40"/>
  <c r="AI5" i="40" l="1"/>
  <c r="AI4" i="40" s="1"/>
  <c r="AI3" i="40" s="1"/>
  <c r="K16" i="8"/>
  <c r="L16" i="8"/>
  <c r="J14" i="8"/>
  <c r="A41" i="18"/>
  <c r="F39" i="18"/>
  <c r="D16" i="23"/>
  <c r="K11" i="8" l="1"/>
  <c r="J20" i="41"/>
  <c r="J21" i="41" s="1"/>
  <c r="L11" i="8"/>
  <c r="J10" i="8"/>
  <c r="J9" i="8" s="1"/>
  <c r="K9" i="8" s="1"/>
  <c r="A2" i="15" l="1"/>
  <c r="D7" i="18" l="1"/>
  <c r="C7" i="18"/>
  <c r="A7" i="18"/>
  <c r="E22" i="23"/>
  <c r="D22" i="23"/>
  <c r="E20" i="23"/>
  <c r="D20" i="23"/>
  <c r="D22" i="8"/>
  <c r="D39" i="18" l="1"/>
  <c r="S7" i="18"/>
  <c r="F22" i="23"/>
  <c r="F20" i="23"/>
  <c r="L10" i="8"/>
  <c r="K14" i="8"/>
  <c r="L14" i="8"/>
  <c r="P41" i="18"/>
  <c r="F41" i="8"/>
  <c r="D27" i="8"/>
  <c r="G41" i="8" l="1"/>
  <c r="J41" i="8"/>
  <c r="D34" i="8"/>
  <c r="E45" i="8" s="1"/>
  <c r="K10" i="8"/>
  <c r="C22" i="8"/>
  <c r="C14" i="8"/>
  <c r="E14" i="8" l="1"/>
  <c r="H14" i="8"/>
  <c r="E22" i="8"/>
  <c r="H22" i="8"/>
  <c r="G34" i="8"/>
  <c r="G33" i="8"/>
  <c r="G32" i="8"/>
  <c r="G31" i="8"/>
  <c r="G29" i="8"/>
  <c r="G28" i="8"/>
  <c r="G30" i="8"/>
  <c r="G27" i="8"/>
  <c r="L9" i="8"/>
  <c r="E19" i="23"/>
  <c r="E8" i="23"/>
  <c r="F8" i="23" l="1"/>
  <c r="E10" i="23"/>
  <c r="F41" i="18"/>
  <c r="E16" i="23"/>
  <c r="F16" i="23" s="1"/>
  <c r="E13" i="23"/>
  <c r="F13" i="23" s="1"/>
  <c r="C40" i="8"/>
  <c r="B45" i="8"/>
  <c r="E11" i="23" l="1"/>
  <c r="E14" i="23"/>
  <c r="C46" i="8"/>
  <c r="B51" i="8" s="1"/>
  <c r="C51" i="8" l="1"/>
  <c r="J41" i="15"/>
  <c r="B52" i="8"/>
  <c r="B55" i="8"/>
  <c r="C27" i="8" l="1"/>
  <c r="H27" i="8" s="1"/>
  <c r="B41" i="8"/>
  <c r="C11" i="8"/>
  <c r="C34" i="8" l="1"/>
  <c r="H34" i="8" s="1"/>
  <c r="E11" i="8"/>
  <c r="H11" i="8"/>
  <c r="D41" i="8"/>
  <c r="C45" i="8"/>
  <c r="C10" i="8"/>
  <c r="E10" i="8" l="1"/>
  <c r="H10" i="8"/>
  <c r="E34" i="8"/>
  <c r="H41" i="15"/>
  <c r="C36" i="8"/>
  <c r="C47" i="8"/>
  <c r="D45" i="8"/>
  <c r="C9" i="8"/>
  <c r="H9" i="8" s="1"/>
  <c r="E36" i="8" l="1"/>
  <c r="F34" i="8"/>
  <c r="D19" i="23"/>
  <c r="G19" i="23" s="1"/>
  <c r="E9" i="8"/>
  <c r="C8" i="8"/>
  <c r="E21" i="23"/>
  <c r="D36" i="8"/>
  <c r="D25" i="8"/>
  <c r="E8" i="8" l="1"/>
  <c r="G18" i="8"/>
  <c r="G21" i="8"/>
  <c r="G24" i="8"/>
  <c r="G13" i="8"/>
  <c r="G16" i="8"/>
  <c r="G19" i="8"/>
  <c r="G25" i="8"/>
  <c r="G17" i="8"/>
  <c r="G20" i="8"/>
  <c r="G23" i="8"/>
  <c r="G12" i="8"/>
  <c r="G15" i="8"/>
  <c r="G11" i="8"/>
  <c r="G14" i="8"/>
  <c r="G10" i="8"/>
  <c r="G9" i="8"/>
  <c r="G22" i="8"/>
  <c r="D21" i="23"/>
  <c r="G8" i="8"/>
  <c r="D41" i="18"/>
  <c r="D35" i="8"/>
  <c r="D10" i="23"/>
  <c r="B40" i="8"/>
  <c r="I41" i="15"/>
  <c r="C25" i="8"/>
  <c r="E23" i="23"/>
  <c r="E27" i="8"/>
  <c r="F27" i="8" s="1"/>
  <c r="C42" i="8"/>
  <c r="F23" i="23" l="1"/>
  <c r="C35" i="8"/>
  <c r="H35" i="8" s="1"/>
  <c r="D40" i="8"/>
  <c r="D11" i="23"/>
  <c r="E25" i="8"/>
  <c r="E37" i="23"/>
  <c r="D23" i="23"/>
  <c r="F21" i="23"/>
  <c r="D14" i="23"/>
  <c r="B42" i="8"/>
  <c r="E35" i="23"/>
  <c r="E31" i="23"/>
  <c r="E39" i="23"/>
  <c r="E27" i="23"/>
  <c r="E41" i="23"/>
  <c r="E29" i="23"/>
  <c r="E33" i="23"/>
  <c r="D42" i="8" l="1"/>
  <c r="F14" i="23"/>
  <c r="D37" i="23"/>
  <c r="F37" i="23" s="1"/>
  <c r="D33" i="23"/>
  <c r="D31" i="23"/>
  <c r="D39" i="23"/>
  <c r="D41" i="23"/>
  <c r="D27" i="23"/>
  <c r="D35" i="23"/>
  <c r="D29" i="23"/>
  <c r="E35" i="8"/>
  <c r="F27" i="23" l="1"/>
  <c r="F41" i="23"/>
  <c r="G41" i="23"/>
  <c r="F39" i="23"/>
  <c r="F31" i="23"/>
  <c r="F35" i="23"/>
  <c r="F33" i="23"/>
  <c r="F29" i="23"/>
  <c r="K39" i="18"/>
  <c r="Q23" i="18"/>
  <c r="S23" i="18" s="1"/>
  <c r="Q39" i="18" l="1"/>
  <c r="S39" i="18" s="1"/>
  <c r="O39" i="18"/>
  <c r="P40" i="18" l="1"/>
  <c r="F40" i="18"/>
  <c r="R18" i="18"/>
  <c r="R21" i="18"/>
  <c r="R36" i="18"/>
  <c r="R20" i="18"/>
  <c r="N40" i="18"/>
  <c r="R32" i="18"/>
  <c r="R22" i="18"/>
  <c r="R11" i="18"/>
  <c r="O41" i="18"/>
  <c r="R10" i="18"/>
  <c r="R25" i="18"/>
  <c r="I40" i="18"/>
  <c r="R8" i="18"/>
  <c r="R29" i="18"/>
  <c r="R16" i="18"/>
  <c r="R9" i="18"/>
  <c r="J40" i="18"/>
  <c r="R13" i="18"/>
  <c r="R34" i="18"/>
  <c r="R35" i="18"/>
  <c r="R15" i="18"/>
  <c r="R31" i="18"/>
  <c r="R38" i="18"/>
  <c r="L40" i="18"/>
  <c r="R17" i="18"/>
  <c r="R12" i="18"/>
  <c r="R19" i="18"/>
  <c r="R37" i="18"/>
  <c r="R28" i="18"/>
  <c r="R7" i="18"/>
  <c r="R30" i="18"/>
  <c r="R27" i="18"/>
  <c r="Q41" i="18"/>
  <c r="H40" i="18"/>
  <c r="M40" i="18"/>
  <c r="G40" i="18"/>
  <c r="R26" i="18"/>
  <c r="R24" i="18"/>
  <c r="R14" i="18"/>
  <c r="R33" i="18"/>
  <c r="R23" i="18"/>
  <c r="B46" i="8"/>
  <c r="F40" i="8"/>
  <c r="J40" i="8" s="1"/>
  <c r="O40" i="18"/>
  <c r="K40" i="18"/>
  <c r="Q40" i="18" l="1"/>
  <c r="G40" i="8"/>
  <c r="F42" i="8"/>
  <c r="G42" i="8" s="1"/>
  <c r="R39" i="18"/>
  <c r="D46" i="8"/>
  <c r="D47" i="8" s="1"/>
  <c r="B47" i="8"/>
</calcChain>
</file>

<file path=xl/comments1.xml><?xml version="1.0" encoding="utf-8"?>
<comments xmlns="http://schemas.openxmlformats.org/spreadsheetml/2006/main">
  <authors>
    <author>Marcos</author>
  </authors>
  <commentList>
    <comment ref="AK7" authorId="0" shapeId="0">
      <text>
        <r>
          <rPr>
            <b/>
            <sz val="9"/>
            <color indexed="81"/>
            <rFont val="Segoe UI"/>
            <family val="2"/>
          </rPr>
          <t>Marcos:</t>
        </r>
        <r>
          <rPr>
            <sz val="9"/>
            <color indexed="81"/>
            <rFont val="Segoe UI"/>
            <family val="2"/>
          </rPr>
          <t xml:space="preserve">
Apenas na Reprogramação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</authors>
  <commentList>
    <comment ref="A6" authorId="0" shapeId="0">
      <text>
        <r>
          <rPr>
            <b/>
            <sz val="14"/>
            <color indexed="81"/>
            <rFont val="Calibri"/>
            <family val="2"/>
            <scheme val="minor"/>
          </rPr>
          <t>Área ou setor responsável pela Atividade ou Projeto</t>
        </r>
      </text>
    </comment>
    <comment ref="B6" authorId="0" shapeId="0">
      <text>
        <r>
          <rPr>
            <b/>
            <sz val="14"/>
            <color indexed="81"/>
            <rFont val="Calibri"/>
            <family val="2"/>
            <scheme val="minor"/>
          </rPr>
          <t>P= Projeto                                        
 A= Atividade 
PE= Projeto Estratégico</t>
        </r>
      </text>
    </comment>
    <comment ref="C6" authorId="0" shapeId="0">
      <text>
        <r>
          <rPr>
            <b/>
            <sz val="14"/>
            <color indexed="81"/>
            <rFont val="Calibri"/>
            <family val="2"/>
            <scheme val="minor"/>
          </rPr>
          <t>Nome da iniciativa</t>
        </r>
      </text>
    </comment>
    <comment ref="D6" authorId="0" shapeId="0">
      <text>
        <r>
          <rPr>
            <b/>
            <sz val="14"/>
            <color indexed="81"/>
            <rFont val="Calibri"/>
            <family val="2"/>
            <scheme val="minor"/>
          </rPr>
          <t>É a motivação geral e a síntese dos efeitos que se deseja produzir.</t>
        </r>
      </text>
    </comment>
    <comment ref="E6" authorId="0" shapeId="0">
      <text>
        <r>
          <rPr>
            <b/>
            <sz val="14"/>
            <color indexed="81"/>
            <rFont val="Calibri"/>
            <family val="2"/>
            <scheme val="minor"/>
          </rPr>
          <t>Selecionar uma das opções nas células abaixo que estão de acordo com os objetivos estratégicos do Mapa Estratégico no âmbito das perspectivas da Sociedade, Processos Internos, Alavancadores e Pessoas e Infraestrutura.</t>
        </r>
      </text>
    </comment>
    <comment ref="F6" authorId="0" shapeId="0">
      <text>
        <r>
          <rPr>
            <sz val="14"/>
            <color indexed="81"/>
            <rFont val="Calibri"/>
            <family val="2"/>
            <scheme val="minor"/>
          </rPr>
          <t xml:space="preserve">Ao firmar o compromisso de incluir os ODS à sua estratégia, o CAU abre caminho para melhorar sua atuação e atender aos anseios da sociedade por projetos e serviços alinhados aos princípios da sustentabilidade. Neste contexto, torna-se </t>
        </r>
        <r>
          <rPr>
            <b/>
            <sz val="14"/>
            <color indexed="81"/>
            <rFont val="Calibri"/>
            <family val="2"/>
            <scheme val="minor"/>
          </rPr>
          <t>facultativo</t>
        </r>
        <r>
          <rPr>
            <sz val="14"/>
            <color indexed="81"/>
            <rFont val="Calibri"/>
            <family val="2"/>
            <scheme val="minor"/>
          </rPr>
          <t xml:space="preserve"> o enquadramento dos projetos e atividades nos ODS em 2024.</t>
        </r>
      </text>
    </comment>
    <comment ref="G6" authorId="0" shapeId="0">
      <text>
        <r>
          <rPr>
            <b/>
            <sz val="14"/>
            <color indexed="81"/>
            <rFont val="Calibri"/>
            <family val="2"/>
            <scheme val="minor"/>
          </rPr>
          <t xml:space="preserve">São os efeitos que devem ser produzidos com a execução do projeto/atividade, dentro do seu horizonte do tempo. Refletem o objetivo geral do projeto e representam o seu desdobramento em metas mensuráveis. </t>
        </r>
      </text>
    </comment>
    <comment ref="H6" authorId="0" shapeId="0">
      <text>
        <r>
          <rPr>
            <b/>
            <sz val="14"/>
            <color indexed="81"/>
            <rFont val="Calibri"/>
            <family val="2"/>
            <scheme val="minor"/>
          </rPr>
          <t>Os valores devem ser iguais do último Plano de Ação aprovado em 2023.</t>
        </r>
      </text>
    </comment>
    <comment ref="I6" authorId="0" shapeId="0">
      <text>
        <r>
          <rPr>
            <b/>
            <sz val="14"/>
            <color indexed="81"/>
            <rFont val="Calibri"/>
            <family val="2"/>
            <scheme val="minor"/>
          </rPr>
          <t>Valores das iniciativas do Plano de Ação da Programação 2024</t>
        </r>
      </text>
    </comment>
  </commentList>
</comments>
</file>

<file path=xl/comments3.xml><?xml version="1.0" encoding="utf-8"?>
<comments xmlns="http://schemas.openxmlformats.org/spreadsheetml/2006/main">
  <authors>
    <author>Flavia Rios Costa</author>
    <author>Marcos Cristino</author>
    <author>Tania Mara Chaves Daldegan</author>
  </authors>
  <commentList>
    <comment ref="C5" authorId="0" shapeId="0">
      <text>
        <r>
          <rPr>
            <b/>
            <sz val="12"/>
            <color indexed="81"/>
            <rFont val="Calibri"/>
            <family val="2"/>
            <scheme val="minor"/>
          </rPr>
          <t>O valor da Reprogramação 2023 deve ser igual ao valor APROVADO vigente no Plano de Ação 2023</t>
        </r>
      </text>
    </comment>
    <comment ref="D5" authorId="1" shapeId="0">
      <text>
        <r>
          <rPr>
            <b/>
            <sz val="12"/>
            <color indexed="81"/>
            <rFont val="Calibri"/>
            <family val="2"/>
            <scheme val="minor"/>
          </rPr>
          <t>Os valores devem ser os aprovados nas Diretrizes da Programação 2024</t>
        </r>
      </text>
    </comment>
    <comment ref="A32" authorId="0" shapeId="0">
      <text>
        <r>
          <rPr>
            <b/>
            <sz val="11"/>
            <color indexed="81"/>
            <rFont val="Tahoma"/>
            <family val="2"/>
          </rPr>
          <t>Apenas o Valor do APORTE DO CSC</t>
        </r>
        <r>
          <rPr>
            <sz val="9"/>
            <color indexed="81"/>
            <rFont val="Tahoma"/>
            <family val="2"/>
          </rPr>
          <t xml:space="preserve">
Fiscalização + Atendimento</t>
        </r>
      </text>
    </comment>
    <comment ref="E39" authorId="2" shapeId="0">
      <text>
        <r>
          <rPr>
            <b/>
            <sz val="9"/>
            <color indexed="81"/>
            <rFont val="Segoe UI"/>
            <family val="2"/>
          </rPr>
          <t>Anexo 1 da Reprogramação 2023</t>
        </r>
      </text>
    </comment>
    <comment ref="A50" authorId="1" shapeId="0">
      <text>
        <r>
          <rPr>
            <b/>
            <sz val="12"/>
            <color indexed="81"/>
            <rFont val="Calibri"/>
            <family val="2"/>
            <scheme val="minor"/>
          </rPr>
          <t>Superávit a ser utilizado, de acordo com o Art. 9 da Resolução 200</t>
        </r>
      </text>
    </comment>
  </commentList>
</comments>
</file>

<file path=xl/comments4.xml><?xml version="1.0" encoding="utf-8"?>
<comments xmlns="http://schemas.openxmlformats.org/spreadsheetml/2006/main">
  <authors>
    <author>Marcos Cristino</author>
    <author>Fabiana ...</author>
    <author>Gustavo Milhomem Brito Menezes</author>
    <author>Tania Mara Chaves Daldegan</author>
  </authors>
  <commentList>
    <comment ref="E9" authorId="0" shapeId="0">
      <text>
        <r>
          <rPr>
            <b/>
            <sz val="12"/>
            <color indexed="81"/>
            <rFont val="Calibri"/>
            <family val="2"/>
            <scheme val="minor"/>
          </rPr>
          <t>Apresentar a composição deste valor no campo de comentários/justificativas.</t>
        </r>
      </text>
    </comment>
    <comment ref="A13" authorId="1" shapeId="0">
      <text>
        <r>
          <rPr>
            <sz val="12"/>
            <color indexed="81"/>
            <rFont val="Segoe UI"/>
            <family val="2"/>
          </rPr>
          <t>Não considerar o valor total das rescisões contratuais, auxílio alimentação, auxílio transporte, plano de saúde e demais benefícios</t>
        </r>
      </text>
    </comment>
    <comment ref="B23" authorId="2" shape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 FA</t>
        </r>
      </text>
    </comment>
    <comment ref="F27" authorId="3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9" authorId="3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1" authorId="3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3" authorId="3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5" authorId="3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7" authorId="3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9" authorId="3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41" authorId="3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Tania Mara Chaves Daldegan</author>
  </authors>
  <commentList>
    <comment ref="L5" authorId="0" shapeId="0">
      <text>
        <r>
          <rPr>
            <b/>
            <sz val="9"/>
            <color indexed="81"/>
            <rFont val="Segoe UI"/>
            <family val="2"/>
          </rPr>
          <t>Aporte ao Fundo de apoio
Aporte o CSC
Patrocínio
Convênios</t>
        </r>
      </text>
    </comment>
  </commentList>
</comments>
</file>

<file path=xl/sharedStrings.xml><?xml version="1.0" encoding="utf-8"?>
<sst xmlns="http://schemas.openxmlformats.org/spreadsheetml/2006/main" count="905" uniqueCount="556">
  <si>
    <t>Total</t>
  </si>
  <si>
    <t>Pessoal</t>
  </si>
  <si>
    <t>Imobilizado</t>
  </si>
  <si>
    <t>Variação</t>
  </si>
  <si>
    <t>Unidade Responsável</t>
  </si>
  <si>
    <t>Denominação</t>
  </si>
  <si>
    <t>TOTAL</t>
  </si>
  <si>
    <t>Especificação</t>
  </si>
  <si>
    <t>1. Receitas Correntes</t>
  </si>
  <si>
    <t>1.1.1 Anuidades</t>
  </si>
  <si>
    <t>1.1.1.1 Pessoa Física</t>
  </si>
  <si>
    <t>1.1.1.2 Pessoa Jurídica</t>
  </si>
  <si>
    <t>1.2 Aplicações Financeiras</t>
  </si>
  <si>
    <t>1.4 Fundo de Apoio</t>
  </si>
  <si>
    <t>2.1 Saldos de Exercícios Anteriores (Superávit Financeiro)</t>
  </si>
  <si>
    <t xml:space="preserve"> I – TOTAL</t>
  </si>
  <si>
    <t>II – TOTAL</t>
  </si>
  <si>
    <t>VARIAÇÃO (I-II)</t>
  </si>
  <si>
    <t>Impactar significativamente o planejamento e a gestão do território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</si>
  <si>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</si>
  <si>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</si>
  <si>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</si>
  <si>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</si>
  <si>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</si>
  <si>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</si>
  <si>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</si>
  <si>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</si>
  <si>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</si>
  <si>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</si>
  <si>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</si>
  <si>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</si>
  <si>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</si>
  <si>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Indicadores Institucionais e de Resultado (agrupados por objetivo estratégico) - Metas</t>
  </si>
  <si>
    <t>Objetivo Estratégico Principal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</si>
  <si>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</si>
  <si>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</si>
  <si>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</si>
  <si>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</si>
  <si>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</si>
  <si>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</si>
  <si>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</si>
  <si>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</si>
  <si>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</si>
  <si>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TOTAL GERAL</t>
  </si>
  <si>
    <t>BASE DE CÁLCULO</t>
  </si>
  <si>
    <t>APLICAÇÕES DE RECURSOS</t>
  </si>
  <si>
    <t xml:space="preserve">FOLHA DE PAGAMENTO </t>
  </si>
  <si>
    <t>2. Recursos do fundo de apoio (CAU Básico)</t>
  </si>
  <si>
    <t>Valor</t>
  </si>
  <si>
    <t xml:space="preserve">% </t>
  </si>
  <si>
    <t>LIMITES</t>
  </si>
  <si>
    <t xml:space="preserve">Objetivo Geral </t>
  </si>
  <si>
    <t xml:space="preserve">Fórmula </t>
  </si>
  <si>
    <t xml:space="preserve">Periodicidade </t>
  </si>
  <si>
    <t>B- INDICADORES DE RESULTADO</t>
  </si>
  <si>
    <t>A- INDICADORES INSTITUCIONAIS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</si>
  <si>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</si>
  <si>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</si>
  <si>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</si>
  <si>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</si>
  <si>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</si>
  <si>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Pessoal e Encargos</t>
  </si>
  <si>
    <t>A. Pessoal e Encargos (Valores totais)</t>
  </si>
  <si>
    <t>1. QUADRO GERAL</t>
  </si>
  <si>
    <t>Resultado</t>
  </si>
  <si>
    <t>1.1.3 RRT</t>
  </si>
  <si>
    <t xml:space="preserve">BASE DE CÁLCULO </t>
  </si>
  <si>
    <t xml:space="preserve">Variação </t>
  </si>
  <si>
    <t xml:space="preserve">CATEGORIA ECONÔMICA </t>
  </si>
  <si>
    <t>Corrente</t>
  </si>
  <si>
    <t xml:space="preserve">Capital </t>
  </si>
  <si>
    <t>5.  Receita da Arrecadação Líquida (RAL = 3 - 4)</t>
  </si>
  <si>
    <t>Anual</t>
  </si>
  <si>
    <t>Trimestral</t>
  </si>
  <si>
    <t>1.1.1.1.2 Anuidade Exercícios anteriores</t>
  </si>
  <si>
    <t>1.1.1.2.2 Anuidade Exercícios anteriores</t>
  </si>
  <si>
    <t>1.1 Receitas de Arrecadação Total</t>
  </si>
  <si>
    <t>x 100</t>
  </si>
  <si>
    <t>Mensal</t>
  </si>
  <si>
    <t>Semestral</t>
  </si>
  <si>
    <t>número de usuários satisfeitos com a solução da demanda</t>
  </si>
  <si>
    <t>número de usuários que responderam a pesquisa</t>
  </si>
  <si>
    <t>total de notícias sobre questões de Arquitetura e Urbanismo</t>
  </si>
  <si>
    <t>total de inserções do CAU na mídia</t>
  </si>
  <si>
    <t>passivo circulante</t>
  </si>
  <si>
    <t>total de profissionais ativos</t>
  </si>
  <si>
    <t>total de empresas inadimplentes</t>
  </si>
  <si>
    <t>horas totais de treinamento</t>
  </si>
  <si>
    <t>número total de colaboradores e dirigentes</t>
  </si>
  <si>
    <t>total de usuários internos que participaram da pesquisa</t>
  </si>
  <si>
    <t>total de usuários externos que participaram da pesquisa</t>
  </si>
  <si>
    <t>01 - Erradicação da pobreza</t>
  </si>
  <si>
    <t>05 - Igualdade de gênero</t>
  </si>
  <si>
    <t>08 - Trabalho decente e crescimento econômico</t>
  </si>
  <si>
    <t>10 - Redução das desigualdades</t>
  </si>
  <si>
    <t>11 - Cidades e comunidades sustentáveis</t>
  </si>
  <si>
    <t>14 - Vida na água</t>
  </si>
  <si>
    <t>16 - Paz, justiça e instituições eficazes</t>
  </si>
  <si>
    <t>17 - Parcerias e meios de implementação</t>
  </si>
  <si>
    <t>02 - Fome zero e agricultura sustentável</t>
  </si>
  <si>
    <t>03 - Saúde e bem-estar</t>
  </si>
  <si>
    <t>04 - Educação de qualidade</t>
  </si>
  <si>
    <t>06 - Água limpa e saneamento</t>
  </si>
  <si>
    <t>09 - Inovação infraestrutura</t>
  </si>
  <si>
    <t>12 - Consumo e produção responsáveis</t>
  </si>
  <si>
    <t>13 - Ação contra a mudança global do clima</t>
  </si>
  <si>
    <t>15 - Vida terrestre</t>
  </si>
  <si>
    <t>I - Receitas</t>
  </si>
  <si>
    <t>II - Despesas</t>
  </si>
  <si>
    <t>Assegurar a eficácia no atendimento e no relacionamento com os Arquitetos e Urbanistas e a Sociedade</t>
  </si>
  <si>
    <t>Auto-Atendimento</t>
  </si>
  <si>
    <t>Qualificação dos Canais de Atendimento</t>
  </si>
  <si>
    <t>Ações Locais em Mídia</t>
  </si>
  <si>
    <t>Ações Nacionais em Mídia</t>
  </si>
  <si>
    <t>Atualização do Portal da Transparência</t>
  </si>
  <si>
    <t>Estimular a produção da Arquitetura e Urbanismo como política de Estado</t>
  </si>
  <si>
    <t>Representação em Instâncias Públicas</t>
  </si>
  <si>
    <t>Câmaras Temáticas</t>
  </si>
  <si>
    <t>Editais de Patrocínio</t>
  </si>
  <si>
    <t>Capacitação em ATHIS</t>
  </si>
  <si>
    <t>Cooperação Técnica para ATHIS</t>
  </si>
  <si>
    <t>Influenciar as diretrizes do ensino de Arquitetura e Urbanismo e sua formação continuada</t>
  </si>
  <si>
    <t>Ações de Melhoria da Qualidade do Ensino</t>
  </si>
  <si>
    <t>CAU nas Escolas</t>
  </si>
  <si>
    <t>Audiências de Conciliação</t>
  </si>
  <si>
    <t>Melhoria de Processo Ético</t>
  </si>
  <si>
    <t>Palestras e campanhas sobre Aspectos Éticos</t>
  </si>
  <si>
    <t>Cooperação Técnica para Fiscalização</t>
  </si>
  <si>
    <t>Plataforma de Georreferenciamento</t>
  </si>
  <si>
    <t>Fiscalização Orientativa</t>
  </si>
  <si>
    <t>Fiscalização em Obras</t>
  </si>
  <si>
    <t>Serviços de Terceiros- Diárias</t>
  </si>
  <si>
    <t>Serviços de Terceiros- Passagens</t>
  </si>
  <si>
    <t>Serviços de Terceiros- Serviços Prestados</t>
  </si>
  <si>
    <t>Serviços de Terceiros- Aluguéis e Encargos</t>
  </si>
  <si>
    <t>Transferências Correntes</t>
  </si>
  <si>
    <t xml:space="preserve">Objetivos de Desenvolvimento Sustentável </t>
  </si>
  <si>
    <t>2.2 Outras Receitas de Capital</t>
  </si>
  <si>
    <t>1.3 Outras Receitas Correntes</t>
  </si>
  <si>
    <t>Não se aplica</t>
  </si>
  <si>
    <t>Atendimento Eletrônico</t>
  </si>
  <si>
    <t>Valorizar a Arquitetura e Urbanismo</t>
  </si>
  <si>
    <t>Garantir a participação dos Arquitetos e Urbanistas no planejamento territorial e na gestão urbana</t>
  </si>
  <si>
    <t xml:space="preserve">Reserva de Contingência </t>
  </si>
  <si>
    <t>P/A/ PE</t>
  </si>
  <si>
    <t>RRT mínima</t>
  </si>
  <si>
    <t>número de usuários internos satisfeitos com a tecnologia</t>
  </si>
  <si>
    <t>número de usuários externos satisfeitos com a tecnologia</t>
  </si>
  <si>
    <t>ativo circulante</t>
  </si>
  <si>
    <t>total de profissionais inadimplentes</t>
  </si>
  <si>
    <t>número de processos éticos concluídos em um ano</t>
  </si>
  <si>
    <t>Variação
(%)</t>
  </si>
  <si>
    <t>Orientações de Preenchimento dos Elementos de Despesas:</t>
  </si>
  <si>
    <t>1.1.4 Taxas e Multas</t>
  </si>
  <si>
    <t xml:space="preserve">1. Receita de Arrecadação Total </t>
  </si>
  <si>
    <t xml:space="preserve">Reserva de 
Contingência </t>
  </si>
  <si>
    <t>Sociedade</t>
  </si>
  <si>
    <t>número de municípios  da UF que possuem  Plano Diretor</t>
  </si>
  <si>
    <t>total de municípios da UF</t>
  </si>
  <si>
    <t xml:space="preserve">quantidade de ações de fiscalização realizadas pelo CAU/UF no mês </t>
  </si>
  <si>
    <t xml:space="preserve">Mensal </t>
  </si>
  <si>
    <t xml:space="preserve">número de ações de fiscalização previstas no Plano de Ação aprovado </t>
  </si>
  <si>
    <t>quantidade de obras e serviços regulares</t>
  </si>
  <si>
    <t>quantidade de obras e serviços fiscalizados pelo CAU/UF</t>
  </si>
  <si>
    <t>número total de RRT registrados (pagos) por mês</t>
  </si>
  <si>
    <t xml:space="preserve"> total de profissionais ativos </t>
  </si>
  <si>
    <t>quantidade de denúncias atendidas</t>
  </si>
  <si>
    <t>número de denúncias recebidas</t>
  </si>
  <si>
    <t>número de processos de fiscalização concluídos no semestre</t>
  </si>
  <si>
    <t xml:space="preserve"> número total de processos de fiscalização em aberto no ano</t>
  </si>
  <si>
    <t>quantidade de termos de cooperação técnica e parcerias para racionalização da ações de fiscalização</t>
  </si>
  <si>
    <t>número de termos e parcerias previstos no Plano de Ação</t>
  </si>
  <si>
    <t>quantidade mensal de ações de fiscalização realizada</t>
  </si>
  <si>
    <t>número de horas de fiscalização mensal</t>
  </si>
  <si>
    <t>quantidade obras e serviços com RRT</t>
  </si>
  <si>
    <t>quantidade de obras e serviços regularizados</t>
  </si>
  <si>
    <t>quantidade de obras e serviços regularizados com RRT</t>
  </si>
  <si>
    <t>quantidade obras e serviços regularizados</t>
  </si>
  <si>
    <t xml:space="preserve">número de reclamações recebidas pela Ouvidoria  no trimestre                                                                                                               </t>
  </si>
  <si>
    <t xml:space="preserve">número total de atendimentos pela Ouvidoria no trimestre                                   </t>
  </si>
  <si>
    <t>valor orçamentário investido (executado) em patrocínios no ano</t>
  </si>
  <si>
    <t xml:space="preserve">Anual
</t>
  </si>
  <si>
    <t>valor orçamentário destinado (orçado) em patrocínios no ano</t>
  </si>
  <si>
    <t>Quantidade de participantes presentes</t>
  </si>
  <si>
    <t>quantidade de participantes previstas no Plano de Ação Aprovado</t>
  </si>
  <si>
    <t>custos totais dos eventos</t>
  </si>
  <si>
    <t>quantidade de participantes presentes</t>
  </si>
  <si>
    <t>número de pessoas atingida pelo material produzido e distribuído</t>
  </si>
  <si>
    <t>quantidade de material informativo produzido</t>
  </si>
  <si>
    <t>número de ações com participação do CAU/UF</t>
  </si>
  <si>
    <t>número de municípios da UF que passaram a aplicar a Lei de Assistência Técnica</t>
  </si>
  <si>
    <t>quantidade de acessos qualificados (visitantes únicos) a página do CAU/UF</t>
  </si>
  <si>
    <t>número de inserções na mídia em geral onde o CAU/UF foi citado</t>
  </si>
  <si>
    <t>número de inserções positivas do CAU/UF na mídia</t>
  </si>
  <si>
    <t>Número de  visualizações das publicações do CAU/UF das redes sociais</t>
  </si>
  <si>
    <t>quantidade de visualizações das publicações do CAU/UF das redes sociais</t>
  </si>
  <si>
    <t>número de escolas da UF com a disciplina de ética profissional na grade curricular</t>
  </si>
  <si>
    <t>número total de escolas da UF</t>
  </si>
  <si>
    <t>número total de processos éticos abertos</t>
  </si>
  <si>
    <t>tempo médio de conclusão de processos éticos</t>
  </si>
  <si>
    <t>tempo máximo para conclusão de processo</t>
  </si>
  <si>
    <t>total de RRT na UF</t>
  </si>
  <si>
    <t>população total da UF/1000 habitantes</t>
  </si>
  <si>
    <t>RRT Social</t>
  </si>
  <si>
    <t>receita corrente</t>
  </si>
  <si>
    <t>custo total de pessoal</t>
  </si>
  <si>
    <t xml:space="preserve">Semestral </t>
  </si>
  <si>
    <t xml:space="preserve">total de empresas ativas </t>
  </si>
  <si>
    <t>número de processos mapeados</t>
  </si>
  <si>
    <t xml:space="preserve">total de processos existentes </t>
  </si>
  <si>
    <t>número de processos normatizados</t>
  </si>
  <si>
    <t>total de processos existentes</t>
  </si>
  <si>
    <t>número de processos automatizados</t>
  </si>
  <si>
    <t>Número de ações executadas</t>
  </si>
  <si>
    <t xml:space="preserve">quantidade de ações executadas voltadas à cultura organizacional e estratégia                                                                                                                  </t>
  </si>
  <si>
    <t>Índice de cumprimento das metas do Plano de Ação (%)</t>
  </si>
  <si>
    <t>COMENTÁRIOS/JUSTIFICATIVAS:</t>
  </si>
  <si>
    <t>Orientação:  As células sinalizadas, em cinza, são fórmulas e não devem ser modificadas.</t>
  </si>
  <si>
    <t>Correntes
(R$)</t>
  </si>
  <si>
    <t>Capital
(R$)</t>
  </si>
  <si>
    <t>TOTAL
(R$)</t>
  </si>
  <si>
    <t>Justificativas para os indicadores que não foram propostas metas:</t>
  </si>
  <si>
    <t>07 - Energia limpa e acessível </t>
  </si>
  <si>
    <t>número de solicitações tratadas no prazo estipulado pela Carta de Serviços no trimestre</t>
  </si>
  <si>
    <t>número de solicitações abertas no trimestre</t>
  </si>
  <si>
    <t>total de RRT pagos na UF</t>
  </si>
  <si>
    <t>total de profissionais potenciais pagantes</t>
  </si>
  <si>
    <r>
      <t xml:space="preserve">Índice de municípios que possuem  Plano Diretor, em conformidade com os critérios da legislação (%) 
</t>
    </r>
    <r>
      <rPr>
        <b/>
        <sz val="12"/>
        <color theme="1"/>
        <rFont val="Calibri"/>
        <family val="2"/>
        <scheme val="minor"/>
      </rPr>
      <t xml:space="preserve">(CAU/UF) </t>
    </r>
  </si>
  <si>
    <r>
      <t xml:space="preserve">Índice da capacidade de fiscalização (%) 
</t>
    </r>
    <r>
      <rPr>
        <b/>
        <sz val="12"/>
        <rFont val="Calibri"/>
        <family val="2"/>
        <scheme val="minor"/>
      </rPr>
      <t xml:space="preserve">(CAU/UF) </t>
    </r>
  </si>
  <si>
    <r>
      <t xml:space="preserve">Índice de presença profissional nas obras e  serviços fiscalizados  (%)
</t>
    </r>
    <r>
      <rPr>
        <b/>
        <sz val="12"/>
        <rFont val="Calibri"/>
        <family val="2"/>
        <scheme val="minor"/>
      </rPr>
      <t xml:space="preserve">(CAU/UF) </t>
    </r>
    <r>
      <rPr>
        <sz val="12"/>
        <rFont val="Calibri"/>
        <family val="2"/>
        <scheme val="minor"/>
      </rPr>
      <t xml:space="preserve">                   </t>
    </r>
  </si>
  <si>
    <r>
      <t xml:space="preserve">Índice de RRT por profissional ativo (Qtd)
</t>
    </r>
    <r>
      <rPr>
        <b/>
        <sz val="12"/>
        <rFont val="Calibri"/>
        <family val="2"/>
        <scheme val="minor"/>
      </rPr>
      <t xml:space="preserve">(CAU/UF)         </t>
    </r>
    <r>
      <rPr>
        <sz val="12"/>
        <rFont val="Calibri"/>
        <family val="2"/>
        <scheme val="minor"/>
      </rPr>
      <t xml:space="preserve">       </t>
    </r>
  </si>
  <si>
    <r>
      <t xml:space="preserve">Índice de capacidade de atendimento de denúncias 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</si>
  <si>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de fiscalização 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</si>
  <si>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articulação institucional para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</si>
  <si>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produtividade de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</si>
  <si>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de regularidade no CAU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</si>
  <si>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de obras e serviços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</si>
  <si>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com RRT (%)
</t>
    </r>
    <r>
      <rPr>
        <b/>
        <sz val="12"/>
        <rFont val="Calibri"/>
        <family val="2"/>
        <scheme val="minor"/>
      </rPr>
      <t>(CAU/UF)</t>
    </r>
  </si>
  <si>
    <r>
      <t xml:space="preserve">Índice de atendimento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</si>
  <si>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com a solução da demanda (%)
</t>
    </r>
    <r>
      <rPr>
        <b/>
        <sz val="12"/>
        <rFont val="Calibri"/>
        <family val="2"/>
        <scheme val="minor"/>
      </rPr>
      <t>(CAU/UF)</t>
    </r>
  </si>
  <si>
    <r>
      <t xml:space="preserve">Índice de reclamações recebidas na Ouvidoria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</si>
  <si>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execução dos investimentos em patrocínios  (%)
</t>
    </r>
    <r>
      <rPr>
        <b/>
        <sz val="12"/>
        <rFont val="Calibri"/>
        <family val="2"/>
        <scheme val="minor"/>
      </rPr>
      <t>(CAU/UF)</t>
    </r>
  </si>
  <si>
    <r>
      <t xml:space="preserve">Índice de difusão de conhecimento em eventos próprios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</si>
  <si>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de custos de eventos próprios
</t>
    </r>
    <r>
      <rPr>
        <b/>
        <sz val="12"/>
        <rFont val="Calibri"/>
        <family val="2"/>
        <scheme val="minor"/>
      </rPr>
      <t>(CAU/UF)</t>
    </r>
  </si>
  <si>
    <r>
      <t xml:space="preserve">Índice de alcance das melhores práticas (%)
</t>
    </r>
    <r>
      <rPr>
        <b/>
        <sz val="12"/>
        <rFont val="Calibri"/>
        <family val="2"/>
        <scheme val="minor"/>
      </rPr>
      <t>(CAU/UF)</t>
    </r>
  </si>
  <si>
    <r>
      <t xml:space="preserve">Ações realizadas em conjunto com municípios, destinadas ao planejamento urbano
</t>
    </r>
    <r>
      <rPr>
        <b/>
        <sz val="12"/>
        <color theme="1"/>
        <rFont val="Calibri"/>
        <family val="2"/>
        <scheme val="minor"/>
      </rPr>
      <t>(CAU/UF)</t>
    </r>
  </si>
  <si>
    <r>
      <t xml:space="preserve">Participação do CAU na elaboração ou regulamentação da Lei da Assistência Técnica Gratuita (Lei nº 11.888/08) (%)
</t>
    </r>
    <r>
      <rPr>
        <b/>
        <sz val="12"/>
        <rFont val="Calibri"/>
        <family val="2"/>
        <scheme val="minor"/>
      </rPr>
      <t>(CAU/UF)</t>
    </r>
  </si>
  <si>
    <r>
      <t xml:space="preserve">Índice de ações realizadas destinadas à Assistência Técnica (%)
</t>
    </r>
    <r>
      <rPr>
        <b/>
        <sz val="12"/>
        <rFont val="Calibri"/>
        <family val="2"/>
        <scheme val="minor"/>
      </rPr>
      <t>(CAU/UF)</t>
    </r>
  </si>
  <si>
    <r>
      <t xml:space="preserve">Acessos à página do CAU (Qtd.)
</t>
    </r>
    <r>
      <rPr>
        <b/>
        <sz val="12"/>
        <rFont val="Calibri"/>
        <family val="2"/>
        <scheme val="minor"/>
      </rPr>
      <t>(CAU/UF)</t>
    </r>
  </si>
  <si>
    <r>
      <t xml:space="preserve">Índice de presença na mídia como um todo (%)
</t>
    </r>
    <r>
      <rPr>
        <b/>
        <sz val="12"/>
        <rFont val="Calibri"/>
        <family val="2"/>
        <scheme val="minor"/>
      </rPr>
      <t>(CAU/UF)</t>
    </r>
  </si>
  <si>
    <r>
      <t xml:space="preserve">Índice de inserções positivas na mídia (%)
</t>
    </r>
    <r>
      <rPr>
        <b/>
        <sz val="12"/>
        <rFont val="Calibri"/>
        <family val="2"/>
        <scheme val="minor"/>
      </rPr>
      <t>(CAU/UF)</t>
    </r>
  </si>
  <si>
    <r>
      <t xml:space="preserve">Índice de escolas que possuem disciplinas com conteúdo sobre a ética profissional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</si>
  <si>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éticos (%)
</t>
    </r>
    <r>
      <rPr>
        <b/>
        <sz val="12"/>
        <rFont val="Calibri"/>
        <family val="2"/>
        <scheme val="minor"/>
      </rPr>
      <t>(CAU/UF)</t>
    </r>
  </si>
  <si>
    <r>
      <t xml:space="preserve">Eficiência no trâmite de processos éticos (dias)
</t>
    </r>
    <r>
      <rPr>
        <b/>
        <sz val="12"/>
        <rFont val="Calibri"/>
        <family val="2"/>
        <scheme val="minor"/>
      </rPr>
      <t>(CAU/UF)</t>
    </r>
  </si>
  <si>
    <r>
      <t xml:space="preserve">Índice de RRT por população (1.000 habitantes) (%)
</t>
    </r>
    <r>
      <rPr>
        <b/>
        <sz val="12"/>
        <rFont val="Calibri"/>
        <family val="2"/>
        <scheme val="minor"/>
      </rPr>
      <t>(CAU/UF)</t>
    </r>
  </si>
  <si>
    <r>
      <t xml:space="preserve">Índice de RRT mínimos (%)
</t>
    </r>
    <r>
      <rPr>
        <b/>
        <sz val="12"/>
        <rFont val="Calibri"/>
        <family val="2"/>
        <scheme val="minor"/>
      </rPr>
      <t>(CAU/UF)</t>
    </r>
  </si>
  <si>
    <r>
      <t xml:space="preserve">Índice de RRT Social (%)
</t>
    </r>
    <r>
      <rPr>
        <b/>
        <sz val="12"/>
        <rFont val="Calibri"/>
        <family val="2"/>
        <scheme val="minor"/>
      </rPr>
      <t>(CAU/UF)</t>
    </r>
  </si>
  <si>
    <r>
      <t xml:space="preserve">Índice de receita por arquiteto e urbanista 
</t>
    </r>
    <r>
      <rPr>
        <b/>
        <sz val="12"/>
        <rFont val="Calibri"/>
        <family val="2"/>
        <scheme val="minor"/>
      </rPr>
      <t>(CAU/UF)</t>
    </r>
  </si>
  <si>
    <r>
      <t xml:space="preserve">Relação receita/custo total de pessoal (%)
</t>
    </r>
    <r>
      <rPr>
        <b/>
        <sz val="12"/>
        <rFont val="Calibri"/>
        <family val="2"/>
        <scheme val="minor"/>
      </rPr>
      <t>(CAU/UF)</t>
    </r>
  </si>
  <si>
    <r>
      <t xml:space="preserve">Índice de liquidez corrente 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</si>
  <si>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física (%)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</si>
  <si>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jurídica (%)
</t>
    </r>
    <r>
      <rPr>
        <b/>
        <sz val="12"/>
        <rFont val="Calibri"/>
        <family val="2"/>
        <scheme val="minor"/>
      </rPr>
      <t>(CAU/UF)</t>
    </r>
  </si>
  <si>
    <r>
      <t xml:space="preserve">Índice de mapeamento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</si>
  <si>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normatização de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</si>
  <si>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automação de processos (%)
</t>
    </r>
    <r>
      <rPr>
        <b/>
        <sz val="12"/>
        <rFont val="Calibri"/>
        <family val="2"/>
        <scheme val="minor"/>
      </rPr>
      <t>(CAU/UF)</t>
    </r>
  </si>
  <si>
    <r>
      <t xml:space="preserve">Média de horas de treinamento por colaboradores e dirigentes
</t>
    </r>
    <r>
      <rPr>
        <b/>
        <sz val="12"/>
        <rFont val="Calibri"/>
        <family val="2"/>
        <scheme val="minor"/>
      </rPr>
      <t>(CAU/UF)</t>
    </r>
  </si>
  <si>
    <r>
      <t>total de iniciativas executadas</t>
    </r>
    <r>
      <rPr>
        <b/>
        <sz val="12"/>
        <rFont val="Calibri"/>
        <family val="2"/>
        <scheme val="minor"/>
      </rPr>
      <t xml:space="preserve">                                                                       </t>
    </r>
  </si>
  <si>
    <r>
      <t>total de iniciativas planejadas</t>
    </r>
    <r>
      <rPr>
        <b/>
        <sz val="12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</si>
  <si>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Índice de satisfação interna com a tecnologia utilizada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</si>
  <si>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externa com a tecnologia utilizada (%)
</t>
    </r>
    <r>
      <rPr>
        <b/>
        <sz val="12"/>
        <rFont val="Calibri"/>
        <family val="2"/>
        <scheme val="minor"/>
      </rPr>
      <t>(CAU/UF)</t>
    </r>
  </si>
  <si>
    <t>Indicadores selecionados pelo UF (para uso do CAU/BR)</t>
  </si>
  <si>
    <t>Objetivos de Desenvolvimento Sustentável</t>
  </si>
  <si>
    <t>II - Despesas de capital</t>
  </si>
  <si>
    <t>A. Saldo IV = (I-II-III)</t>
  </si>
  <si>
    <t>P</t>
  </si>
  <si>
    <t>A</t>
  </si>
  <si>
    <t>PE</t>
  </si>
  <si>
    <t>P.</t>
  </si>
  <si>
    <t>A.</t>
  </si>
  <si>
    <t>PE.</t>
  </si>
  <si>
    <t>Informações</t>
  </si>
  <si>
    <t>2. Receitas de Capital</t>
  </si>
  <si>
    <t>1. Programação Operacional</t>
  </si>
  <si>
    <t>1.1 Projetos</t>
  </si>
  <si>
    <t>1.3 Atividades</t>
  </si>
  <si>
    <t>2. Aportes ao Fundo de Apoio</t>
  </si>
  <si>
    <t xml:space="preserve">3. Aporte ao CSC </t>
  </si>
  <si>
    <t>4. Reserva de Contingência</t>
  </si>
  <si>
    <r>
      <t>Os itens de custo devem ser:
•</t>
    </r>
    <r>
      <rPr>
        <b/>
        <sz val="12"/>
        <color theme="1"/>
        <rFont val="Arial"/>
        <family val="2"/>
      </rPr>
      <t xml:space="preserve"> Pessoal (Salários, Encargos e Benefícios) </t>
    </r>
    <r>
      <rPr>
        <sz val="12"/>
        <color theme="1"/>
        <rFont val="Arial"/>
        <family val="2"/>
      </rPr>
      <t xml:space="preserve">
a) Pessoal e Encargos:  compreende salários; gratificações; 13º salário; férias; 1/3 férias, abono e horas extras; INSS; FGTS e PIS; vale transporte, auxílio alimentação, plano de saúde e outros benefícios.
b) Diárias – compreende diárias de funcionários com vínculo empregatício com o Conselho.
</t>
    </r>
    <r>
      <rPr>
        <b/>
        <sz val="12"/>
        <color theme="1"/>
        <rFont val="Arial"/>
        <family val="2"/>
      </rPr>
      <t>• Material de Consumo</t>
    </r>
    <r>
      <rPr>
        <sz val="12"/>
        <color theme="1"/>
        <rFont val="Arial"/>
        <family val="2"/>
      </rPr>
      <t xml:space="preserve"> – compreende material de expediente; informática; e outros materiais de consumo que não sejam classificados como material permanente. 
</t>
    </r>
    <r>
      <rPr>
        <b/>
        <sz val="12"/>
        <color theme="1"/>
        <rFont val="Arial"/>
        <family val="2"/>
      </rPr>
      <t xml:space="preserve">• Serviços de Terceiros: </t>
    </r>
    <r>
      <rPr>
        <sz val="12"/>
        <color theme="1"/>
        <rFont val="Arial"/>
        <family val="2"/>
      </rPr>
      <t xml:space="preserve">
a) Diárias – compreende diárias do presidente, de conselheiros e de convidados.
b) Passagens – compreende passagens de funcionários, presidente, conselheiros, e convidados.
c) Serviços Prestados (PF e PJ) – compreende todo serviço prestado por pessoa jurídica como: consultorias; serviços de comunicação e divulgação; manutenção de sistemas informatizados; locação de bens móveis e imóveis, condomínios, reparos e conservação de bens móveis e imóveis; serviços de água e energia elétrica; correios; telecomunicações e outras despesas correntes não classificáveis nos itens anteriores e  remunerações de serviços prestados por pessoa física; remuneração de estagiários, e remuneração de menores aprendizes.
</t>
    </r>
    <r>
      <rPr>
        <b/>
        <sz val="12"/>
        <color theme="1"/>
        <rFont val="Arial"/>
        <family val="2"/>
      </rPr>
      <t>. Transferências Correntes</t>
    </r>
    <r>
      <rPr>
        <sz val="12"/>
        <color theme="1"/>
        <rFont val="Arial"/>
        <family val="2"/>
      </rPr>
      <t xml:space="preserve">: compreende os repasses ao Fundo de Apoio; os repasses ao Centro de Serviço Compartilhado - CSC; convênios, acordos, ajuda as entidades e patrocínios.
</t>
    </r>
    <r>
      <rPr>
        <b/>
        <sz val="12"/>
        <color theme="1"/>
        <rFont val="Arial"/>
        <family val="2"/>
      </rPr>
      <t xml:space="preserve">. Reserva de Contingência: </t>
    </r>
    <r>
      <rPr>
        <sz val="12"/>
        <color theme="1"/>
        <rFont val="Arial"/>
        <family val="2"/>
      </rPr>
      <t xml:space="preserve">compreende as despesas não previstas no plano de ação.
</t>
    </r>
    <r>
      <rPr>
        <b/>
        <sz val="12"/>
        <color theme="1"/>
        <rFont val="Arial"/>
        <family val="2"/>
      </rPr>
      <t>. Encargos Diversos –</t>
    </r>
    <r>
      <rPr>
        <sz val="12"/>
        <color theme="1"/>
        <rFont val="Arial"/>
        <family val="2"/>
      </rPr>
      <t xml:space="preserve"> compreende as taxas bancárias; impostos e taxas diversas; despesas judiciais; e outros encargos.
</t>
    </r>
    <r>
      <rPr>
        <b/>
        <sz val="12"/>
        <color theme="1"/>
        <rFont val="Arial"/>
        <family val="2"/>
      </rPr>
      <t xml:space="preserve">. Imobilizado </t>
    </r>
    <r>
      <rPr>
        <sz val="12"/>
        <color theme="1"/>
        <rFont val="Arial"/>
        <family val="2"/>
      </rPr>
      <t>– compreende os investimentos como: aquisição de equipamentos e materiais permanentes; aquisição de imóveis; e outros investimentos.</t>
    </r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</si>
  <si>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</si>
  <si>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</si>
  <si>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</si>
  <si>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</si>
  <si>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</si>
  <si>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</si>
  <si>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</si>
  <si>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</si>
  <si>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</si>
  <si>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</si>
  <si>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</si>
  <si>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PB</t>
  </si>
  <si>
    <t>PA</t>
  </si>
  <si>
    <t>RRT - Quantidade</t>
  </si>
  <si>
    <t>MT</t>
  </si>
  <si>
    <t>PJ - Inadimplência</t>
  </si>
  <si>
    <t>MS</t>
  </si>
  <si>
    <t>PJ - Quantidade</t>
  </si>
  <si>
    <t>MG</t>
  </si>
  <si>
    <t>PF - Inadimplência</t>
  </si>
  <si>
    <t>1.1.3 Taxas e Multas</t>
  </si>
  <si>
    <t>MA</t>
  </si>
  <si>
    <t>GO</t>
  </si>
  <si>
    <t>Quantidades e Inadimplência</t>
  </si>
  <si>
    <t>ES</t>
  </si>
  <si>
    <t>DF</t>
  </si>
  <si>
    <t>CE</t>
  </si>
  <si>
    <t>Encontro de Contas</t>
  </si>
  <si>
    <t>BA</t>
  </si>
  <si>
    <t>Fundo de Apoio - Plenárias Ampliadas</t>
  </si>
  <si>
    <t>AP</t>
  </si>
  <si>
    <t>Fundo de Apoio - APORTE</t>
  </si>
  <si>
    <t>AM</t>
  </si>
  <si>
    <t>AL</t>
  </si>
  <si>
    <t>CSC - Atendimento</t>
  </si>
  <si>
    <t>AC</t>
  </si>
  <si>
    <t>CSC - Fiscalização</t>
  </si>
  <si>
    <t>Quantitativo</t>
  </si>
  <si>
    <t>Inadimplência</t>
  </si>
  <si>
    <t>Taxas Bancárias
(Outras Receitas)</t>
  </si>
  <si>
    <t>Atendimento</t>
  </si>
  <si>
    <t>Fiscalização</t>
  </si>
  <si>
    <t>Repasse do Fundo de Apoio</t>
  </si>
  <si>
    <t>Utilização com Plenárias Ampliadas</t>
  </si>
  <si>
    <t>Aporte ao
Fundo de Apoio</t>
  </si>
  <si>
    <t>Exercícios Anteriores</t>
  </si>
  <si>
    <t>Exercício</t>
  </si>
  <si>
    <t>Demais valores a checar</t>
  </si>
  <si>
    <t>Fontes de Receitas Correntes (80%)</t>
  </si>
  <si>
    <t>RRT</t>
  </si>
  <si>
    <t>PJ</t>
  </si>
  <si>
    <t>PF</t>
  </si>
  <si>
    <t>Taxas</t>
  </si>
  <si>
    <t>Informações para os Indicadores</t>
  </si>
  <si>
    <t>Ressarcimento</t>
  </si>
  <si>
    <t>CSC</t>
  </si>
  <si>
    <t>Fundo de Apoio</t>
  </si>
  <si>
    <t>UF</t>
  </si>
  <si>
    <t>Ativos</t>
  </si>
  <si>
    <t>Potencial Pagantes</t>
  </si>
  <si>
    <t>Pessoas e Infraestrutura</t>
  </si>
  <si>
    <t>Processos Internos</t>
  </si>
  <si>
    <t>Qde.</t>
  </si>
  <si>
    <t>Part. %</t>
  </si>
  <si>
    <t>Total Iniciativas</t>
  </si>
  <si>
    <t>Atividade</t>
  </si>
  <si>
    <t>Projeto</t>
  </si>
  <si>
    <t>Projetos/Objetivos Estratégicos</t>
  </si>
  <si>
    <t>Perspectivas</t>
  </si>
  <si>
    <t>Projeto Específico</t>
  </si>
  <si>
    <t>Objetivos Locais</t>
  </si>
  <si>
    <t>selecione abaixo</t>
  </si>
  <si>
    <t>PF - Ativos</t>
  </si>
  <si>
    <t>PF - Potencial Pagantes</t>
  </si>
  <si>
    <t>nº da coluna</t>
  </si>
  <si>
    <t>Dados Geográficos</t>
  </si>
  <si>
    <r>
      <t xml:space="preserve">Frente aos objetivos estratégicos selecionados no Mapa Estratégico (nacionais e locais), sugerimos a seleção de ao menos um indicador vinculado a cada objetivo.
</t>
    </r>
    <r>
      <rPr>
        <b/>
        <sz val="12"/>
        <color theme="1"/>
        <rFont val="Calibri"/>
        <family val="2"/>
        <scheme val="minor"/>
      </rPr>
      <t>Caso não defina meta, favor justificar neste campo.</t>
    </r>
  </si>
  <si>
    <t>A - FONTES</t>
  </si>
  <si>
    <t>B. APLICAÇÕES</t>
  </si>
  <si>
    <t>Obj. Estratégico</t>
  </si>
  <si>
    <t>-</t>
  </si>
  <si>
    <t>1.1.1.1.1 Anuidade do Exercício 2023</t>
  </si>
  <si>
    <t>1.1.1.2.1 Anuidade do Exercício 2023</t>
  </si>
  <si>
    <t>Programação 
2023</t>
  </si>
  <si>
    <t>Programação</t>
  </si>
  <si>
    <t>II a - Percentual de utilização para capital</t>
  </si>
  <si>
    <t>III a - Percentual de utilização para PE</t>
  </si>
  <si>
    <r>
      <t xml:space="preserve"> Despesas com Pessoal
</t>
    </r>
    <r>
      <rPr>
        <b/>
        <sz val="12"/>
        <color rgb="FFFF0000"/>
        <rFont val="Calibri"/>
        <family val="2"/>
        <scheme val="minor"/>
      </rPr>
      <t>(máximo de 60% sobre as Receitas Correntes)</t>
    </r>
  </si>
  <si>
    <t>Orientações para preenchimento do Modelo do Plano de Ação - Programação 2024</t>
  </si>
  <si>
    <t xml:space="preserve">Variação (2024/2023) </t>
  </si>
  <si>
    <t>PLANO DE AÇÃO - PROGRAMAÇÃO  2024</t>
  </si>
  <si>
    <t>Anexo 1 - Demonstrativo de Fontes e Aplicações - Programação 2024</t>
  </si>
  <si>
    <t>Programação
 2024
  (B)</t>
  </si>
  <si>
    <t>1.1.1.1.1 Anuidade do Exercício 2024</t>
  </si>
  <si>
    <t>1.1.1.2.1 Anuidade do Exercício 2024</t>
  </si>
  <si>
    <t>Programação 
2024 
(B)</t>
  </si>
  <si>
    <t>Reprogramação
 2023
 (A)</t>
  </si>
  <si>
    <t>Reprogramação 
2023 
(A)</t>
  </si>
  <si>
    <t>RESUMO DA PROGRAMAÇÃO 2024 - POR CATEGORIA ECONÔMICA</t>
  </si>
  <si>
    <t>Superávit financiero
apurado em 2022</t>
  </si>
  <si>
    <t>Reprogramação
2023
(A)</t>
  </si>
  <si>
    <t>Programação
 2024
(B)</t>
  </si>
  <si>
    <t>FONTES</t>
  </si>
  <si>
    <t>APLICAÇÃO</t>
  </si>
  <si>
    <t>I - Superávit financeiro acumulado em 2022</t>
  </si>
  <si>
    <t>Reprogramação
 2023</t>
  </si>
  <si>
    <t>Programação
 2024</t>
  </si>
  <si>
    <t>Programação 2024</t>
  </si>
  <si>
    <t>Anexo 3- Aplicações por Projetos/Atividades - por Elementos de Despesas (Consolidado) - Programação 2024</t>
  </si>
  <si>
    <t>População estimada 2022</t>
  </si>
  <si>
    <t>População - 2022</t>
  </si>
  <si>
    <t>Superávit Financeiro 2022</t>
  </si>
  <si>
    <t>gerplan2024</t>
  </si>
  <si>
    <t xml:space="preserve">Participação
 (E)           </t>
  </si>
  <si>
    <t>%
 (D=C/A)</t>
  </si>
  <si>
    <t>R$
 (C=B-A)</t>
  </si>
  <si>
    <t>Anexo 2 - Limites de Aplicação dos Recursos Estratégicos - Programação 2024</t>
  </si>
  <si>
    <r>
      <t>Capacitação</t>
    </r>
    <r>
      <rPr>
        <b/>
        <sz val="12"/>
        <color indexed="10"/>
        <rFont val="Calibri"/>
        <family val="2"/>
        <scheme val="minor"/>
      </rPr>
      <t xml:space="preserve"> 
</t>
    </r>
    <r>
      <rPr>
        <b/>
        <sz val="12"/>
        <color rgb="FF006871"/>
        <rFont val="Calibri"/>
        <family val="2"/>
        <scheme val="minor"/>
      </rPr>
      <t>(mínimo de 2%  da Folha de Pagamento)</t>
    </r>
    <r>
      <rPr>
        <b/>
        <sz val="12"/>
        <color theme="4" tint="-0.249977111117893"/>
        <rFont val="Calibri"/>
        <family val="2"/>
        <scheme val="minor"/>
      </rPr>
      <t xml:space="preserve">  </t>
    </r>
    <r>
      <rPr>
        <b/>
        <sz val="12"/>
        <rFont val="Calibri"/>
        <family val="2"/>
        <scheme val="minor"/>
      </rPr>
      <t xml:space="preserve">      </t>
    </r>
    <r>
      <rPr>
        <b/>
        <sz val="12"/>
        <color rgb="FF0070C0"/>
        <rFont val="Calibri"/>
        <family val="2"/>
        <scheme val="minor"/>
      </rPr>
      <t xml:space="preserve"> </t>
    </r>
    <r>
      <rPr>
        <b/>
        <sz val="12"/>
        <color indexed="57"/>
        <rFont val="Calibri"/>
        <family val="2"/>
        <scheme val="minor"/>
      </rPr>
      <t xml:space="preserve">         </t>
    </r>
  </si>
  <si>
    <t>Ajuste necessário</t>
  </si>
  <si>
    <t>Comentários / Justificativas quando da flexibilização da aplicação de recursos mínimos e máximos do limite estratégico de Capacitação do Plano de Ação e Orçamento de 2024.</t>
  </si>
  <si>
    <r>
      <t xml:space="preserve">Patrimônio
</t>
    </r>
    <r>
      <rPr>
        <b/>
        <sz val="12"/>
        <color rgb="FFFF0000"/>
        <rFont val="Calibri"/>
        <family val="2"/>
        <scheme val="minor"/>
      </rPr>
      <t xml:space="preserve">(mínimo de 2,0% do total da RAL)    </t>
    </r>
  </si>
  <si>
    <r>
      <t xml:space="preserve">Objetivos Estratégicos Locais
</t>
    </r>
    <r>
      <rPr>
        <b/>
        <sz val="12"/>
        <color rgb="FFFF0000"/>
        <rFont val="Calibri"/>
        <family val="2"/>
        <scheme val="minor"/>
      </rPr>
      <t xml:space="preserve">(mínimo de 6,0% do total da RAL)         </t>
    </r>
    <r>
      <rPr>
        <b/>
        <sz val="12"/>
        <color indexed="21"/>
        <rFont val="Calibri"/>
        <family val="2"/>
        <scheme val="minor"/>
      </rPr>
      <t xml:space="preserve">                </t>
    </r>
  </si>
  <si>
    <r>
      <t xml:space="preserve">Patrocínio
</t>
    </r>
    <r>
      <rPr>
        <b/>
        <sz val="12"/>
        <color rgb="FFFF0000"/>
        <rFont val="Calibri"/>
        <family val="2"/>
        <scheme val="minor"/>
      </rPr>
      <t xml:space="preserve">(máximo de 5,0% do total da RAL)      </t>
    </r>
    <r>
      <rPr>
        <b/>
        <sz val="12"/>
        <color indexed="10"/>
        <rFont val="Calibri"/>
        <family val="2"/>
        <scheme val="minor"/>
      </rPr>
      <t xml:space="preserve"> 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       </t>
    </r>
  </si>
  <si>
    <r>
      <t xml:space="preserve">Comunicação
</t>
    </r>
    <r>
      <rPr>
        <b/>
        <sz val="12"/>
        <color rgb="FFFF0000"/>
        <rFont val="Calibri"/>
        <family val="2"/>
        <scheme val="minor"/>
      </rPr>
      <t xml:space="preserve">(mínimo de 3,0% do total da RAL)    </t>
    </r>
    <r>
      <rPr>
        <b/>
        <sz val="12"/>
        <color indexed="21"/>
        <rFont val="Calibri"/>
        <family val="2"/>
        <scheme val="minor"/>
      </rPr>
      <t xml:space="preserve">         </t>
    </r>
    <r>
      <rPr>
        <b/>
        <sz val="12"/>
        <color indexed="57"/>
        <rFont val="Calibri"/>
        <family val="2"/>
        <scheme val="minor"/>
      </rPr>
      <t xml:space="preserve">                                                                                </t>
    </r>
  </si>
  <si>
    <r>
      <t xml:space="preserve">Atendimento
</t>
    </r>
    <r>
      <rPr>
        <b/>
        <sz val="12"/>
        <color rgb="FFFF0000"/>
        <rFont val="Calibri"/>
        <family val="2"/>
        <scheme val="minor"/>
      </rPr>
      <t>(mínimo de 10,0% do total da RAL)</t>
    </r>
  </si>
  <si>
    <r>
      <t xml:space="preserve">Assistência Técnica
</t>
    </r>
    <r>
      <rPr>
        <b/>
        <sz val="12"/>
        <color rgb="FFFF0000"/>
        <rFont val="Calibri"/>
        <family val="2"/>
        <scheme val="minor"/>
      </rPr>
      <t xml:space="preserve">(mínimo de 3,0% do total da RAL)    </t>
    </r>
  </si>
  <si>
    <r>
      <t xml:space="preserve">Fiscalização
</t>
    </r>
    <r>
      <rPr>
        <b/>
        <sz val="12"/>
        <color rgb="FFFF0000"/>
        <rFont val="Calibri"/>
        <family val="2"/>
        <scheme val="minor"/>
      </rPr>
      <t xml:space="preserve">(mínimo de 25,0% do total da RAL)    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</t>
    </r>
  </si>
  <si>
    <r>
      <t xml:space="preserve">OBRIGATORIAMENTE - Usar o arquivo da Programação 2024 enviado pela GERPLAN. 
O anexo 4 é de preenchimento </t>
    </r>
    <r>
      <rPr>
        <b/>
        <i/>
        <u/>
        <sz val="12"/>
        <color theme="1"/>
        <rFont val="Calibri"/>
        <family val="2"/>
        <scheme val="minor"/>
      </rPr>
      <t>facultativo</t>
    </r>
    <r>
      <rPr>
        <b/>
        <i/>
        <sz val="12"/>
        <color theme="1"/>
        <rFont val="Calibri"/>
        <family val="2"/>
        <scheme val="minor"/>
      </rPr>
      <t>.</t>
    </r>
  </si>
  <si>
    <t>Os objetivos estratégicos, em âmbito nacional, foram alterados para:
Fiscalização, Comunicação e Ter sistemas de informação e infraestrutura, 
e devem ser obrigatoriamente trabalhados com ao menos uma iniciativa estratégica (Atividade, Projeto e/ou Projeto Estratégico) vinculado.</t>
  </si>
  <si>
    <t>Serão flexibilizados os percentuais mínimo e máximo dos limites de: 
Reserva de Contingência - até 2% da RAL; Comunicação - mínimo de 3% da RAL; Objetivos Locais - mínimo de 6% da RAL; Patrocínios - máximo de 5% da RAL; Atendimento - mínimo de 10% da RAL. 
Os órgãos deliberativos dos CAU/UF poderão, mediante as justificativas próprias, flexibilizar a aplicação de recursos mínimos e máximos nestes limites na Programação do Plano de Ação e Orçamento de 2024. (Anexo 2)</t>
  </si>
  <si>
    <r>
      <t xml:space="preserve">Os objetivos estratégicos em âmbito nacional </t>
    </r>
    <r>
      <rPr>
        <b/>
        <u/>
        <sz val="12"/>
        <rFont val="Calibri"/>
        <family val="2"/>
        <scheme val="minor"/>
      </rPr>
      <t>FORAM ALTERADOS PARA</t>
    </r>
    <r>
      <rPr>
        <sz val="12"/>
        <rFont val="Calibri"/>
        <family val="2"/>
        <scheme val="minor"/>
      </rPr>
      <t xml:space="preserve">: 
</t>
    </r>
    <r>
      <rPr>
        <b/>
        <sz val="12"/>
        <rFont val="Calibri"/>
        <family val="2"/>
        <scheme val="minor"/>
      </rPr>
      <t xml:space="preserve">Fiscalização,  Comunicação e Ter sistemas de informação e infraestrutura 
</t>
    </r>
    <r>
      <rPr>
        <sz val="12"/>
        <rFont val="Calibri"/>
        <family val="2"/>
        <scheme val="minor"/>
      </rPr>
      <t>e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devem ser obrigatoriamente trabalhados. 
Selecionar os objetivos estratégicos prioritários em âmbito local trabalhados em 2024, 
que devem ser diferentes dos nacionais.</t>
    </r>
  </si>
  <si>
    <t>Obs.: Os Indicadores devem ser vinculados aos objetivos estratégicos priorizados no Mapa Estratégico do CAU/UF, ou seja, os indicadores dos objetivos estratégicos escolhidos no Mapa Estratégico devem ser mensurados. Utilizar os dados das Diretrizes da Programação 2024.</t>
  </si>
  <si>
    <t>Meta
2023</t>
  </si>
  <si>
    <t>Meta
2024</t>
  </si>
  <si>
    <r>
      <t xml:space="preserve">Orientação: As células sinalizadas, em cinza, são fórmulas e não devem ser modificadas. Verificar os comentários colocando o cursor na célula correspondente, no cabeçalho. </t>
    </r>
    <r>
      <rPr>
        <b/>
        <sz val="12"/>
        <color theme="1"/>
        <rFont val="Calibri"/>
        <family val="2"/>
        <scheme val="minor"/>
      </rPr>
      <t>Caso seja necessário aumentar o número de linhas, favor verificar a continuidade das fórmulas. 
O enquadramento aos Objetivos de Desenvolvimento Sustentável (ODS) é facultativo.</t>
    </r>
  </si>
  <si>
    <t>1.2 Projetos Estratégicos</t>
  </si>
  <si>
    <t>Aplicação do Superávit Financeiro</t>
  </si>
  <si>
    <t>III - Projetos Estratégicos (PE)</t>
  </si>
  <si>
    <t>Orientação:  Na proposta da Programação 2024, para as receitas  de Arrecadação - anuidades de AU e PJ  (do exercício e dos exercícios anteriores), RRT, taxas e multas, devem ser considerados os valores constantes das Diretrizes da Programação 2024. 
Caso o CAU/UF apresente projeções de receitas divergentes das aprovadas nas Diretrizes da Programação 2024, é necessário justificar a alteração e nos informar qual a nova posição do CAU/UF em relação às quantidades e inadimplências aplicadas às projeções de 2024 (AU; PJ; RRT; Taxas e Multas). Para tanto, deve-se utilizar a Minuta das Diretrizes da Programação 2024 e encaminhá-la à GERPLAN.
As receitas de exercícios anteriores devem ser projetadas no mínimo de 10% do valor total a ser arrecadado por cada CAU/UF. 
 As células sinalizadas, em cinza, são fórmulas e não devem ser modificadas.</t>
  </si>
  <si>
    <r>
      <t xml:space="preserve">Reserva de Contingência
</t>
    </r>
    <r>
      <rPr>
        <b/>
        <sz val="12"/>
        <color rgb="FFFF0000"/>
        <rFont val="Calibri"/>
        <family val="2"/>
        <scheme val="minor"/>
      </rPr>
      <t xml:space="preserve">(máximo 2,0% do total da RAL)        </t>
    </r>
    <r>
      <rPr>
        <b/>
        <sz val="12"/>
        <color indexed="21"/>
        <rFont val="Calibri"/>
        <family val="2"/>
        <scheme val="minor"/>
      </rPr>
      <t xml:space="preserve">      </t>
    </r>
  </si>
  <si>
    <r>
      <t xml:space="preserve">OBS 2: </t>
    </r>
    <r>
      <rPr>
        <b/>
        <u/>
        <sz val="12"/>
        <color theme="1"/>
        <rFont val="Calibri"/>
        <family val="2"/>
        <scheme val="minor"/>
      </rPr>
      <t xml:space="preserve">Podem ser flexibilizados
</t>
    </r>
    <r>
      <rPr>
        <b/>
        <sz val="12"/>
        <color theme="1"/>
        <rFont val="Calibri"/>
        <family val="2"/>
        <scheme val="minor"/>
      </rPr>
      <t xml:space="preserve">
Os órgãos deliberativos dos CAU/UF poderão,
mediante as justificativas próprias, flexibilizar a aplicação dos percentuais:
Atendimento - mínimo de 10% da RAL
Comunicação - mínimo de 3% da RAL
Patrocínio - máximo de 5% da RAL
Patrimônio - mínimo de 2% da RAL
Objetivos Locais - mínimo de 6% da RAL
Reserva de Contingência - máximo de 2% da RAL
Apresentar justificativa no campo abaixo.</t>
    </r>
  </si>
  <si>
    <t>LEGENDA: P = PROJETO/ A = ATIVIDADE/ PE = PROJETO ESTRATÉGICO</t>
  </si>
  <si>
    <t>Não reexibir e alterar as abas ocultas, são para uso posterior da GERPLAN e auxiliarão na elaboração dos Pareceres da Programação 2024.
As abas na cor roxo (visíveis) são para facilitar o processo de análise da GERPLAN - CAU/BR, solicitamos que procedam com as orientações  destacadas nos quadros em amarelo.</t>
  </si>
  <si>
    <t>CAU/UF:  CAU/BA</t>
  </si>
  <si>
    <t>Presidência</t>
  </si>
  <si>
    <t>Direção Geral</t>
  </si>
  <si>
    <t>Gerência Técnica</t>
  </si>
  <si>
    <t>Gerência de Operações</t>
  </si>
  <si>
    <t>Gerência Financeira</t>
  </si>
  <si>
    <t>Assessoria Jurídica</t>
  </si>
  <si>
    <t>Comissão de Ética</t>
  </si>
  <si>
    <t>Comissão de Atos Administrativos</t>
  </si>
  <si>
    <t>Comissão de Exercício Profissional e Fiscalização</t>
  </si>
  <si>
    <t>Comissão de Planejamento e Finanças</t>
  </si>
  <si>
    <t>Comissão de Ensino</t>
  </si>
  <si>
    <t>Comissão Especial de Política Profissional e Política Urbana</t>
  </si>
  <si>
    <t>Plenária</t>
  </si>
  <si>
    <t>Gerência  Financeira</t>
  </si>
  <si>
    <t>Assessoria de Comunicação</t>
  </si>
  <si>
    <t>Gerência de Atendimento</t>
  </si>
  <si>
    <t>Gerência de Fiscalização</t>
  </si>
  <si>
    <t>Gerência Administrativa</t>
  </si>
  <si>
    <t>Plenário</t>
  </si>
  <si>
    <t>Articulação Institucional e fomento de parcerias estratégicas.</t>
  </si>
  <si>
    <t>Manutenção Institucional</t>
  </si>
  <si>
    <t>Orientação, esclarecimento e atendimento de demandas de profissionais e empresas</t>
  </si>
  <si>
    <t>Operacionalização dos processos éticos e de multa/fiscalização</t>
  </si>
  <si>
    <t>Manutenção Financeira</t>
  </si>
  <si>
    <t>Consultoria e Assessoria Jurídica</t>
  </si>
  <si>
    <t>Operacionalização e processamento dos  processos éticos</t>
  </si>
  <si>
    <t>Assessoramento organizacional-institucional</t>
  </si>
  <si>
    <t>Operacionalização da Fiscalização e fomento da valorização profissional</t>
  </si>
  <si>
    <t>Operacionalização, Planejamento e Controle do CAU</t>
  </si>
  <si>
    <t>Fomento ao aperfeiçoamento e à formação profissional</t>
  </si>
  <si>
    <t>Fomento a ações que buscam promover melhorias da prática profissional e política urbana</t>
  </si>
  <si>
    <t>Operacionalização das reuniões institucionais regimentais</t>
  </si>
  <si>
    <t>Semana do Arquiteto</t>
  </si>
  <si>
    <t>Patrocínio</t>
  </si>
  <si>
    <t>Aporte ao Fundo de Apoio</t>
  </si>
  <si>
    <t>Comunicação Institucional</t>
  </si>
  <si>
    <t>Programa de Capacitação dos Colaboradores</t>
  </si>
  <si>
    <t>Programa de Assistência Técnica</t>
  </si>
  <si>
    <t>Atendimento da Sociedade e arquitetos e urbanistas</t>
  </si>
  <si>
    <t>Reforma sede CAU/BA</t>
  </si>
  <si>
    <t>Aquisição de Equipamentos</t>
  </si>
  <si>
    <t>CSC -Fiscalização</t>
  </si>
  <si>
    <t>CSC- Atendimento</t>
  </si>
  <si>
    <t>Plano de Fiscalização</t>
  </si>
  <si>
    <t>Reserva de Contingência</t>
  </si>
  <si>
    <t>Aquisição sede CAU/BA</t>
  </si>
  <si>
    <t>Concurso</t>
  </si>
  <si>
    <t>Manutenção Administrativa</t>
  </si>
  <si>
    <t>Prover recursos humanos e materiais para articular parcerias e estimular práticas voltadas a valorização e fiscalização profissional</t>
  </si>
  <si>
    <t>Prover  a estruturação, seja por meio de recursos humanos, equipamentos,  materiais e tecnologia  para execução das atividades das diversas unidades e comissões regimentais e não regimentais do CAU/BA</t>
  </si>
  <si>
    <t xml:space="preserve">Orientar, disciplinar e promover o exercício qualificado da Arquitetura e Urbanismo </t>
  </si>
  <si>
    <t>Prover recursos humanos e materiais para operacionalizar, planejar e identificar o segmento técnico fiscalizável  e no âmbito do Estado da Bahia, além de prover a estruturação dos processos éticos.</t>
  </si>
  <si>
    <t>Prover recursos humanos e materiais, operacionalizar e planejar a continuidade das ações  financeiras do CAU/BA, zelando pelo equilíbrio das contas do Conselho.</t>
  </si>
  <si>
    <t>Prover recursos humanos e materiais para estruturar, organizar e manter em funcionamento a Assessoria Jurídica do CAU-BA.</t>
  </si>
  <si>
    <t>Prover recursos humanos e materiais visando o processamento das demandas ético-disciplinares</t>
  </si>
  <si>
    <t>Prover recursos humanos e materiais visando a estruturação e organização dos normativos do CAU/BA.</t>
  </si>
  <si>
    <t>Prover recursos humanos e materiais visando a estruturação e organização das ações de valorização profissional e de fiscalização.</t>
  </si>
  <si>
    <t>Prover recursos humanos e materiais visando a estruturação e organização do planejamento e de controle do CAU/BA</t>
  </si>
  <si>
    <t>Prover recursos humanos e materiais visando a estruturação e organização da educação continuada e de formação profissional no âmbito do CAU/BA.</t>
  </si>
  <si>
    <t>Prover recursos técnicos visando a estruturação ao empreendedorismo dos arquitetos e urbanistas</t>
  </si>
  <si>
    <t>Intercambiar informações e atualizar as diretrizes de atuação no âmbito Estadual</t>
  </si>
  <si>
    <t>Promover evento que fomente a dignificação da Arquitetura por meio do intercâmbio de informações técnico-temático</t>
  </si>
  <si>
    <t>Intensificar parcerias voltadas ao desenvolvimento da Arquitetura e Urbanismo</t>
  </si>
  <si>
    <t>Contribuir para estruturação e distribuição de recursos vinculadas a constituição de Fundo de Apoio.</t>
  </si>
  <si>
    <t>Prover recursos humanos e materiais para promover e disseminar a  missão, visão,  consolidando a marca CAU/BA</t>
  </si>
  <si>
    <t>Direcionar o profissional a um processo de educação, reciclagem e alteração de comportamento</t>
  </si>
  <si>
    <t>Disseminar e sensibilizar a assistência técnica pública e gratuita para o projeto e a construção de habitação de interesse social, como parte integrante do direito social à moradia previsto.</t>
  </si>
  <si>
    <t>Aperfeiçoar o atendimento aos públicos interno e externo e  aprimorar o relacionamento com a sociedade</t>
  </si>
  <si>
    <t>Reestruturação dos espaços e atividades</t>
  </si>
  <si>
    <t>Modernizar parque computacional do CAU/BA</t>
  </si>
  <si>
    <t>Dotar a Gerência de Fiscalização de sistemas que facilitem a gestão e a tomada de decisão no Plano de Fiscalização do CAU/BA</t>
  </si>
  <si>
    <t>Dotar a Gerência de Atendimento de sistemas que facilitem e agilizem o atendimento aos profissionais</t>
  </si>
  <si>
    <t>Implementar o Plano de Fiscalização Profissional no âmbito do Estado da Bahia</t>
  </si>
  <si>
    <t>Suportar eventuais ações estratégicas não contempladas no PA</t>
  </si>
  <si>
    <t>Melhoria das instalações e das distribuições das unidades internas e atividades funcionais</t>
  </si>
  <si>
    <t>Estruturar e organizar a realização do Concurso Público</t>
  </si>
  <si>
    <t>Planejar e gerenciar as ações  administrativas do CAU/BA, zelando pela contratação mais vantajosa para o Conselho.</t>
  </si>
  <si>
    <t xml:space="preserve">Possibilitar a aplicação de recursos em ações estratégicas de âmbito global, compreendendo a necessidade de transversalidade das ações das comissões, de modo a cumprir a função do CAU, de “orientar, disciplinar e fiscalizar o exercício da profissão de arquitetura e urbanismo, zelar pela fiel observância dos princípios de ética e disciplina da classe em todo o território nacional, bem como pugnar pelo aperfeiçoamento do exercício da arquitetura e urbanismo” </t>
  </si>
  <si>
    <t>Fortalecimento e sedimentação da missão e visão do sistema CAU em face da sociedade, profissionais, instituições públicas e privadas.</t>
  </si>
  <si>
    <t>Manter a continuidade dos serviços e atividades do CAU/BA; Assegurar o bom funcionamento, manter a organização e promover a estruturação necessária para garantia da eficácia dos serviços, desde o atendimento, fomento à valorização profissional e fiscalização.</t>
  </si>
  <si>
    <t xml:space="preserve">Melhorar quantitativamente e qualitativamente o atendimento prestado aos profissionais e empresas </t>
  </si>
  <si>
    <t>Contribuir para a maximização das ações de fiscalização com utilização de mecanismos inovadores para sua efetivação; Contribuir para a maximização das ações disciplinares éticas.</t>
  </si>
  <si>
    <t>Melhoria no gerenciamento do fluxo de pagamentos e contratações, com vistas a estruturar rotinas eficazes de gestão.</t>
  </si>
  <si>
    <t>Elevar o conhecimento dos colaboradores em normativos aplicáveis a autarquia CAU/BA, compartilhando informações e procedimentos</t>
  </si>
  <si>
    <t>Contribuir para a otimização e agilização dos processos administrativos ético-disciplinares no âmbito do CAU/BA</t>
  </si>
  <si>
    <t>Contribuir para a otimização e agilização dos procedimentos operacionais e administrativos no âmbito do CAU/BA.</t>
  </si>
  <si>
    <t>Contribuir para a efetivação da fiscalização, mediante análise comparativa de dados, cumprimento de diligências, participação da sociedade, com vistas a assegurar a melhoria do exercício profissional do Arquiteto e Urbanista.</t>
  </si>
  <si>
    <t>Contribuir para a otimização e agilização dos procedimentos de planejamento e de controle no âmbito do CAU/BA</t>
  </si>
  <si>
    <t>Contribuir para a otimização e agilização dos procedimentos internos no âmbito do CAU/BA vinculados ao ensino e formação.</t>
  </si>
  <si>
    <t>Contribuir para a disseminação da cultura empreendedora e organização da atividade profissional sob a perspectiva dos negócios</t>
  </si>
  <si>
    <t>Prover recursos humanos e materiais visando a estruturação e organização das ações do Plenário do âmbito do CAU/BA</t>
  </si>
  <si>
    <t>Intensificar e aproximar O CAU/BA com seu público-alvo e a sociedade em geral, além de aprimorar a atuação profissional, por meio do fomento ao aperfeiçoamento profissional.</t>
  </si>
  <si>
    <t>Estruturar e solidificar parcerias estratégicas</t>
  </si>
  <si>
    <t>Participação na estruturação de organização sistêmica nacional</t>
  </si>
  <si>
    <t>Solidificar a imagem, a marca e a missão do CAU/BA enquanto instituição que busca promover a Arquitetura para todos, em defesa da sociedade</t>
  </si>
  <si>
    <t>Dotar o CAU/BA de rotina continuada de fomento e de valorização dos colaboradores</t>
  </si>
  <si>
    <t>Valorização e disseminação da cultura da Assistência Técnica</t>
  </si>
  <si>
    <t>Aperfeiçoar a qualidade do atendimento prestado aos públicos interno e externo.</t>
  </si>
  <si>
    <t>O redimensionamento dos espaços contribuirá para melhoria das atividades de fiscalização, de registro, cadastro, atendimento e funcionamento do CAU/BA</t>
  </si>
  <si>
    <t>Otimização e agilização dos procedimentos internos e redução no tempo de atendimento ao profissional Arquiteto e Urbanista</t>
  </si>
  <si>
    <t>Otimização e agilização dos procedimentos internos de fiscalização</t>
  </si>
  <si>
    <t xml:space="preserve">Melhoria na qualidade e na redução do tempo de atendimento </t>
  </si>
  <si>
    <t>Manter a continuidade Operacional do Plano de Fiscalização, visando maximização de suas ações.</t>
  </si>
  <si>
    <t>Possibilitar a aplicação de recursos em ações não contempladas no PA</t>
  </si>
  <si>
    <t>Dar conformidade e garantia ao processo de contratação de pessoal</t>
  </si>
  <si>
    <t>Melhoria no gerenciamento do fluxo de contratos, com vistas a estruturar rotinas eficazes de gestão.</t>
  </si>
  <si>
    <t>Fortalecer e sedimentar a missão do CAU/BA de “promover, em benefício da sociedade, a melhoria do exercício profissional da Arquitetura e Urbanismo, atuando com eficácia na orientação, disciplina, fiscalização e na disseminação do conhecimento”, fomentando as boas práticas profissionais e aproximando o CAU/BA do seu público-alvo e da sociedade em geral</t>
  </si>
  <si>
    <t>Eleiçoes</t>
  </si>
  <si>
    <t>Dar conformidade e garantia ao processo eleitoral</t>
  </si>
  <si>
    <t xml:space="preserve"> VALORES BENEFÍCIOS SOBRE A FOLHA DE PAGAMENTO: VALE TRANSPORTE: R$55.533,15 / PROGRAMA ALMENTAÇÃO DO TRABALHADOR: R$ 228.125,04 / PLANO DE SAÚDE: R$ 145.505,32</t>
  </si>
  <si>
    <t>MAPA ESTRATÉGICO CAU/BA</t>
  </si>
  <si>
    <t>Para2024 decontinuou " Assegurar a eficacia no atendimento...", 'estimular a produção..." e "promover o exercício...", acrescentando "assegurar a eficacia...e " ter sistemas de informação...."</t>
  </si>
  <si>
    <t>OBJETIVOS DE DESENVOLVIMENTO EM BRANCO</t>
  </si>
  <si>
    <t xml:space="preserve">A custear com Recursos do
Superávit Financeiro
 (C) </t>
  </si>
  <si>
    <t>R$
(D=B-A)</t>
  </si>
  <si>
    <t>% 
(E= D/A *100)</t>
  </si>
  <si>
    <r>
      <rPr>
        <b/>
        <u/>
        <sz val="12"/>
        <color theme="1"/>
        <rFont val="Calibri"/>
        <family val="2"/>
        <scheme val="minor"/>
      </rPr>
      <t xml:space="preserve">ATENÇÃO: 
Os limites foram alterados conforme as Diretrizes da Programação 2024
</t>
    </r>
    <r>
      <rPr>
        <b/>
        <sz val="12"/>
        <color theme="1"/>
        <rFont val="Calibri"/>
        <family val="2"/>
        <scheme val="minor"/>
      </rPr>
      <t xml:space="preserve">
OBS 1:  </t>
    </r>
    <r>
      <rPr>
        <b/>
        <u/>
        <sz val="12"/>
        <color theme="1"/>
        <rFont val="Calibri"/>
        <family val="2"/>
        <scheme val="minor"/>
      </rPr>
      <t xml:space="preserve">Obrigatórios
</t>
    </r>
    <r>
      <rPr>
        <b/>
        <sz val="12"/>
        <color theme="1"/>
        <rFont val="Calibri"/>
        <family val="2"/>
        <scheme val="minor"/>
      </rPr>
      <t xml:space="preserve">
Vedada a inobservância de aplicação dos percentuais:
Fiscalização - mínimo de 25% da RAL
ATHIS - mínimo de 3% da RAL
Despesa com pessoal - até 60% das receitas correntes
Capacitação - mínimo de 2% da folha de pagamento</t>
    </r>
  </si>
  <si>
    <t>Análise GERPLAN</t>
  </si>
  <si>
    <t>Projeto Intercomissões</t>
  </si>
  <si>
    <t>1- Verificar o projeto da linha 37, pois consta divergência na denominação frente ao aprovado na Reprogramação 23. Se for um novo projeto é necessário descontinuar o existente e criar um novo. Mas se for continuidade a denominação deve ser a mesma da Reprogramação 23 ( Projeto Intercomissões)</t>
  </si>
  <si>
    <t xml:space="preserve"> Incluir no campo dos comentários a informação de que o valor de "outras receitas" refere-se ao Ressarcimento das tarifas bancárias.</t>
  </si>
  <si>
    <t>Verificar na célula K21 - se é Serviços Pretados ou Transferências Correntes</t>
  </si>
  <si>
    <t>O valor especificado  em "outras receitas" refere-se ao Ressarcimento das tarifas bancárias.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</si>
</sst>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\-&quot;R$&quot;#,##0.00"/>
    <numFmt numFmtId="165" formatCode="&quot;R$&quot;#,##0.00;[Red]\-&quot;R$&quot;#,##0.00"/>
    <numFmt numFmtId="166" formatCode="_(* #,##0.00_);_(* \(#,##0.00\);_(* &quot;-&quot;??_);_(@_)"/>
    <numFmt numFmtId="167" formatCode="0.0"/>
    <numFmt numFmtId="168" formatCode="0.0%"/>
    <numFmt numFmtId="169" formatCode="_-* #,##0_-;\-* #,##0_-;_-* &quot;-&quot;??_-;_-@_-"/>
    <numFmt numFmtId="170" formatCode="_(* #,##0_);_(* \(#,##0\);_(* &quot;-&quot;??_);_(@_)"/>
    <numFmt numFmtId="171" formatCode="_(* #,##0.0_);_(* \(#,##0.0\);_(* &quot;-&quot;??_);_(@_)"/>
    <numFmt numFmtId="172" formatCode="&quot;R$&quot;#,##0.00"/>
    <numFmt numFmtId="173" formatCode="_-&quot;R$&quot;\ * #,##0_-;\-&quot;R$&quot;\ * #,##0_-;_-&quot;R$&quot;\ * &quot;-&quot;??_-;_-@_-"/>
    <numFmt numFmtId="174" formatCode="#,##0.0"/>
    <numFmt numFmtId="175" formatCode="&quot;R$&quot;\ #,##0.0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20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 Narrow"/>
      <family val="2"/>
    </font>
    <font>
      <sz val="12"/>
      <color theme="1"/>
      <name val="Arial"/>
      <family val="2"/>
    </font>
    <font>
      <b/>
      <sz val="12"/>
      <name val="Calibri"/>
      <family val="2"/>
    </font>
    <font>
      <sz val="12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687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57"/>
      <name val="Calibri"/>
      <family val="2"/>
      <scheme val="minor"/>
    </font>
    <font>
      <b/>
      <sz val="12"/>
      <color indexed="21"/>
      <name val="Calibri"/>
      <family val="2"/>
      <scheme val="minor"/>
    </font>
    <font>
      <sz val="12"/>
      <color indexed="81"/>
      <name val="Segoe UI"/>
      <family val="2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Arial"/>
      <family val="2"/>
    </font>
    <font>
      <b/>
      <i/>
      <sz val="12"/>
      <name val="Calibri"/>
      <family val="2"/>
      <scheme val="minor"/>
    </font>
    <font>
      <sz val="12"/>
      <color rgb="FFFF0000"/>
      <name val="Arial"/>
      <family val="2"/>
    </font>
    <font>
      <b/>
      <strike/>
      <sz val="12"/>
      <color theme="1"/>
      <name val="Calibri"/>
      <family val="2"/>
      <scheme val="minor"/>
    </font>
    <font>
      <b/>
      <sz val="12"/>
      <color indexed="81"/>
      <name val="Calibri"/>
      <family val="2"/>
      <scheme val="minor"/>
    </font>
    <font>
      <b/>
      <sz val="14"/>
      <color indexed="81"/>
      <name val="Calibri"/>
      <family val="2"/>
      <scheme val="minor"/>
    </font>
    <font>
      <sz val="14"/>
      <color indexed="8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000000"/>
      </patternFill>
    </fill>
    <fill>
      <patternFill patternType="solid">
        <fgColor rgb="FF2A5664"/>
        <bgColor indexed="64"/>
      </patternFill>
    </fill>
    <fill>
      <patternFill patternType="solid">
        <fgColor rgb="FF006666"/>
        <bgColor indexed="64"/>
      </patternFill>
    </fill>
    <fill>
      <patternFill patternType="darkGrid">
        <bgColor theme="0"/>
      </patternFill>
    </fill>
    <fill>
      <patternFill patternType="solid">
        <fgColor theme="9" tint="-0.249977111117893"/>
        <bgColor indexed="64"/>
      </patternFill>
    </fill>
    <fill>
      <patternFill patternType="darkTrellis"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530053"/>
        <bgColor indexed="64"/>
      </patternFill>
    </fill>
    <fill>
      <patternFill patternType="solid">
        <fgColor rgb="FFFF690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FA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6" borderId="0" applyNumberFormat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1" fillId="0" borderId="0"/>
    <xf numFmtId="173" fontId="16" fillId="0" borderId="0" applyBorder="0" applyProtection="0"/>
  </cellStyleXfs>
  <cellXfs count="432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22" fillId="2" borderId="0" xfId="0" applyFont="1" applyFill="1"/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70" fontId="0" fillId="0" borderId="0" xfId="3" applyNumberFormat="1" applyFont="1"/>
    <xf numFmtId="171" fontId="0" fillId="0" borderId="0" xfId="3" applyNumberFormat="1" applyFont="1"/>
    <xf numFmtId="166" fontId="0" fillId="0" borderId="0" xfId="3" applyFont="1" applyFill="1" applyBorder="1"/>
    <xf numFmtId="166" fontId="0" fillId="0" borderId="0" xfId="3" applyFont="1"/>
    <xf numFmtId="166" fontId="14" fillId="0" borderId="0" xfId="3" applyFont="1"/>
    <xf numFmtId="166" fontId="0" fillId="0" borderId="0" xfId="3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2" applyNumberFormat="1" applyFont="1"/>
    <xf numFmtId="43" fontId="0" fillId="0" borderId="0" xfId="0" applyNumberFormat="1"/>
    <xf numFmtId="170" fontId="0" fillId="0" borderId="0" xfId="3" applyNumberFormat="1" applyFont="1" applyAlignment="1">
      <alignment horizontal="center"/>
    </xf>
    <xf numFmtId="166" fontId="0" fillId="5" borderId="0" xfId="3" applyFont="1" applyFill="1"/>
    <xf numFmtId="0" fontId="45" fillId="2" borderId="0" xfId="0" applyFont="1" applyFill="1"/>
    <xf numFmtId="166" fontId="4" fillId="0" borderId="0" xfId="3" applyFont="1" applyAlignment="1">
      <alignment horizontal="center"/>
    </xf>
    <xf numFmtId="170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66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6" fontId="3" fillId="11" borderId="1" xfId="3" applyFont="1" applyFill="1" applyBorder="1" applyAlignment="1" applyProtection="1">
      <alignment horizontal="center" vertical="center"/>
      <protection locked="0"/>
    </xf>
    <xf numFmtId="166" fontId="4" fillId="2" borderId="1" xfId="3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3" fillId="3" borderId="1" xfId="3" applyFont="1" applyFill="1" applyBorder="1" applyAlignment="1" applyProtection="1">
      <alignment horizontal="center" vertical="center" wrapText="1"/>
      <protection locked="0"/>
    </xf>
    <xf numFmtId="166" fontId="4" fillId="3" borderId="1" xfId="3" applyFont="1" applyFill="1" applyBorder="1" applyAlignment="1" applyProtection="1">
      <alignment horizontal="center" vertical="center" wrapText="1"/>
      <protection locked="0"/>
    </xf>
    <xf numFmtId="166" fontId="3" fillId="3" borderId="1" xfId="3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3" applyNumberFormat="1" applyFont="1" applyFill="1" applyBorder="1" applyAlignment="1">
      <alignment horizontal="center" vertical="center" wrapText="1"/>
    </xf>
    <xf numFmtId="49" fontId="0" fillId="0" borderId="0" xfId="3" applyNumberFormat="1" applyFont="1" applyAlignment="1">
      <alignment horizontal="center" vertical="center" wrapText="1"/>
    </xf>
    <xf numFmtId="49" fontId="14" fillId="0" borderId="0" xfId="3" applyNumberFormat="1" applyFont="1" applyAlignment="1">
      <alignment horizontal="center" vertical="center" wrapText="1"/>
    </xf>
    <xf numFmtId="49" fontId="0" fillId="0" borderId="0" xfId="0" applyNumberFormat="1"/>
    <xf numFmtId="49" fontId="0" fillId="0" borderId="0" xfId="3" applyNumberFormat="1" applyFont="1" applyFill="1" applyBorder="1"/>
    <xf numFmtId="49" fontId="0" fillId="0" borderId="0" xfId="3" applyNumberFormat="1" applyFont="1"/>
    <xf numFmtId="49" fontId="14" fillId="0" borderId="0" xfId="3" applyNumberFormat="1" applyFont="1"/>
    <xf numFmtId="166" fontId="45" fillId="0" borderId="0" xfId="3" applyFont="1"/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0" borderId="0" xfId="12" applyFont="1" applyAlignment="1">
      <alignment horizontal="left" vertical="center"/>
    </xf>
    <xf numFmtId="166" fontId="4" fillId="13" borderId="1" xfId="3" applyFont="1" applyFill="1" applyBorder="1" applyAlignment="1" applyProtection="1">
      <alignment horizontal="center" vertical="center" wrapText="1"/>
      <protection locked="0"/>
    </xf>
    <xf numFmtId="0" fontId="49" fillId="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166" fontId="44" fillId="2" borderId="0" xfId="3" applyFont="1" applyFill="1" applyAlignment="1">
      <alignment vertical="center" wrapText="1"/>
    </xf>
    <xf numFmtId="0" fontId="15" fillId="0" borderId="0" xfId="0" applyFont="1" applyProtection="1">
      <protection locked="0"/>
    </xf>
    <xf numFmtId="0" fontId="1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24" fillId="2" borderId="5" xfId="0" applyFont="1" applyFill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wrapText="1"/>
      <protection locked="0"/>
    </xf>
    <xf numFmtId="0" fontId="22" fillId="0" borderId="1" xfId="0" applyFont="1" applyBorder="1" applyAlignment="1" applyProtection="1">
      <alignment horizontal="center" vertical="top" wrapText="1"/>
      <protection locked="0"/>
    </xf>
    <xf numFmtId="0" fontId="22" fillId="2" borderId="1" xfId="0" applyFont="1" applyFill="1" applyBorder="1" applyAlignment="1" applyProtection="1">
      <alignment horizontal="center" wrapText="1"/>
      <protection locked="0"/>
    </xf>
    <xf numFmtId="0" fontId="22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2" fillId="7" borderId="1" xfId="4" applyFont="1" applyFill="1" applyBorder="1" applyAlignment="1" applyProtection="1">
      <alignment horizontal="center" wrapText="1"/>
      <protection locked="0"/>
    </xf>
    <xf numFmtId="0" fontId="22" fillId="7" borderId="1" xfId="4" applyFont="1" applyFill="1" applyBorder="1" applyAlignment="1" applyProtection="1">
      <alignment horizontal="center" vertical="top" wrapText="1"/>
      <protection locked="0"/>
    </xf>
    <xf numFmtId="0" fontId="22" fillId="2" borderId="1" xfId="4" applyFont="1" applyFill="1" applyBorder="1" applyAlignment="1" applyProtection="1">
      <alignment horizontal="center" wrapText="1"/>
      <protection locked="0"/>
    </xf>
    <xf numFmtId="0" fontId="22" fillId="2" borderId="1" xfId="4" applyFont="1" applyFill="1" applyBorder="1" applyAlignment="1" applyProtection="1">
      <alignment horizontal="center" vertical="top" wrapText="1"/>
      <protection locked="0"/>
    </xf>
    <xf numFmtId="3" fontId="22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3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24" fillId="9" borderId="16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0" xfId="0" applyFont="1" applyFill="1"/>
    <xf numFmtId="0" fontId="21" fillId="2" borderId="0" xfId="0" applyFont="1" applyFill="1" applyAlignment="1">
      <alignment horizontal="center" vertical="center" wrapText="1"/>
    </xf>
    <xf numFmtId="1" fontId="22" fillId="2" borderId="0" xfId="2" applyNumberFormat="1" applyFont="1" applyFill="1" applyBorder="1" applyAlignment="1" applyProtection="1">
      <alignment horizontal="center" vertical="center"/>
    </xf>
    <xf numFmtId="1" fontId="22" fillId="2" borderId="0" xfId="2" applyNumberFormat="1" applyFont="1" applyFill="1" applyBorder="1" applyAlignment="1" applyProtection="1">
      <alignment horizontal="center" vertical="center" wrapText="1"/>
    </xf>
    <xf numFmtId="1" fontId="22" fillId="2" borderId="0" xfId="3" applyNumberFormat="1" applyFont="1" applyFill="1" applyBorder="1" applyAlignment="1" applyProtection="1">
      <alignment horizontal="center" vertical="center" wrapText="1"/>
    </xf>
    <xf numFmtId="3" fontId="22" fillId="2" borderId="0" xfId="3" applyNumberFormat="1" applyFont="1" applyFill="1" applyBorder="1" applyAlignment="1" applyProtection="1">
      <alignment horizontal="center" vertical="center" wrapText="1"/>
    </xf>
    <xf numFmtId="170" fontId="0" fillId="0" borderId="0" xfId="3" applyNumberFormat="1" applyFont="1" applyFill="1" applyBorder="1"/>
    <xf numFmtId="0" fontId="4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66" fontId="22" fillId="0" borderId="0" xfId="3" applyFont="1" applyAlignment="1" applyProtection="1">
      <alignment horizontal="center" vertical="center"/>
      <protection locked="0"/>
    </xf>
    <xf numFmtId="166" fontId="22" fillId="0" borderId="0" xfId="3" applyFont="1" applyAlignment="1" applyProtection="1">
      <alignment horizontal="center" vertical="center" wrapText="1"/>
      <protection locked="0"/>
    </xf>
    <xf numFmtId="41" fontId="3" fillId="2" borderId="0" xfId="0" applyNumberFormat="1" applyFont="1" applyFill="1" applyAlignment="1" applyProtection="1">
      <alignment horizontal="center" vertical="center" wrapText="1"/>
      <protection locked="0"/>
    </xf>
    <xf numFmtId="169" fontId="3" fillId="2" borderId="0" xfId="3" applyNumberFormat="1" applyFont="1" applyFill="1" applyBorder="1" applyAlignment="1" applyProtection="1">
      <alignment vertical="center" wrapText="1"/>
      <protection locked="0"/>
    </xf>
    <xf numFmtId="166" fontId="3" fillId="2" borderId="0" xfId="3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 textRotation="90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169" fontId="3" fillId="2" borderId="0" xfId="3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43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1" fontId="3" fillId="2" borderId="1" xfId="0" applyNumberFormat="1" applyFont="1" applyFill="1" applyBorder="1" applyAlignment="1">
      <alignment horizontal="center" vertical="center" wrapText="1"/>
    </xf>
    <xf numFmtId="171" fontId="3" fillId="3" borderId="1" xfId="3" applyNumberFormat="1" applyFont="1" applyFill="1" applyBorder="1" applyAlignment="1" applyProtection="1">
      <alignment horizontal="right" vertical="center" wrapText="1"/>
    </xf>
    <xf numFmtId="168" fontId="3" fillId="3" borderId="1" xfId="3" applyNumberFormat="1" applyFont="1" applyFill="1" applyBorder="1" applyAlignment="1" applyProtection="1">
      <alignment horizontal="right" vertical="center" wrapText="1"/>
    </xf>
    <xf numFmtId="168" fontId="3" fillId="3" borderId="1" xfId="2" applyNumberFormat="1" applyFont="1" applyFill="1" applyBorder="1" applyAlignment="1" applyProtection="1">
      <alignment horizontal="right" vertical="center" wrapText="1"/>
    </xf>
    <xf numFmtId="0" fontId="22" fillId="0" borderId="0" xfId="0" applyFont="1" applyAlignment="1">
      <alignment horizontal="center" vertical="center"/>
    </xf>
    <xf numFmtId="166" fontId="22" fillId="0" borderId="0" xfId="3" applyFont="1" applyAlignment="1" applyProtection="1">
      <alignment horizontal="center" vertical="center"/>
    </xf>
    <xf numFmtId="43" fontId="2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1" fillId="2" borderId="0" xfId="0" applyFont="1" applyFill="1" applyAlignment="1" applyProtection="1">
      <alignment horizontal="left" wrapText="1"/>
      <protection locked="0"/>
    </xf>
    <xf numFmtId="0" fontId="21" fillId="2" borderId="0" xfId="0" applyFont="1" applyFill="1" applyAlignment="1" applyProtection="1">
      <alignment vertical="center" wrapText="1"/>
      <protection locked="0"/>
    </xf>
    <xf numFmtId="168" fontId="28" fillId="0" borderId="1" xfId="2" applyNumberFormat="1" applyFont="1" applyBorder="1" applyAlignment="1" applyProtection="1">
      <alignment horizontal="right" vertical="center" wrapText="1"/>
    </xf>
    <xf numFmtId="0" fontId="5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15" fillId="15" borderId="0" xfId="0" applyFont="1" applyFill="1" applyProtection="1">
      <protection locked="0"/>
    </xf>
    <xf numFmtId="0" fontId="24" fillId="16" borderId="1" xfId="0" applyFont="1" applyFill="1" applyBorder="1" applyAlignment="1" applyProtection="1">
      <alignment horizontal="left" vertical="center" wrapText="1"/>
      <protection locked="0"/>
    </xf>
    <xf numFmtId="0" fontId="24" fillId="16" borderId="1" xfId="0" applyFont="1" applyFill="1" applyBorder="1" applyAlignment="1" applyProtection="1">
      <alignment horizontal="center" vertical="center" wrapText="1"/>
      <protection locked="0"/>
    </xf>
    <xf numFmtId="0" fontId="15" fillId="16" borderId="0" xfId="0" applyFont="1" applyFill="1" applyProtection="1">
      <protection locked="0"/>
    </xf>
    <xf numFmtId="41" fontId="24" fillId="16" borderId="1" xfId="0" applyNumberFormat="1" applyFont="1" applyFill="1" applyBorder="1" applyAlignment="1">
      <alignment horizontal="center" vertical="center" wrapText="1"/>
    </xf>
    <xf numFmtId="0" fontId="32" fillId="16" borderId="1" xfId="0" applyFont="1" applyFill="1" applyBorder="1" applyAlignment="1">
      <alignment vertical="center" wrapText="1"/>
    </xf>
    <xf numFmtId="0" fontId="32" fillId="16" borderId="1" xfId="0" applyFont="1" applyFill="1" applyBorder="1" applyAlignment="1">
      <alignment horizontal="center" vertical="center" wrapText="1"/>
    </xf>
    <xf numFmtId="0" fontId="32" fillId="16" borderId="1" xfId="0" applyFont="1" applyFill="1" applyBorder="1" applyAlignment="1">
      <alignment horizontal="left" vertical="center" wrapText="1"/>
    </xf>
    <xf numFmtId="0" fontId="21" fillId="17" borderId="0" xfId="0" applyFont="1" applyFill="1" applyAlignment="1" applyProtection="1">
      <alignment vertical="center"/>
      <protection locked="0"/>
    </xf>
    <xf numFmtId="0" fontId="26" fillId="16" borderId="1" xfId="0" applyFont="1" applyFill="1" applyBorder="1" applyAlignment="1" applyProtection="1">
      <alignment horizontal="center" vertical="center" wrapText="1"/>
      <protection locked="0"/>
    </xf>
    <xf numFmtId="49" fontId="20" fillId="16" borderId="17" xfId="3" applyNumberFormat="1" applyFont="1" applyFill="1" applyBorder="1" applyAlignment="1">
      <alignment horizontal="center" vertical="center" wrapText="1"/>
    </xf>
    <xf numFmtId="49" fontId="20" fillId="16" borderId="22" xfId="3" applyNumberFormat="1" applyFont="1" applyFill="1" applyBorder="1" applyAlignment="1">
      <alignment horizontal="center" vertical="center" wrapText="1"/>
    </xf>
    <xf numFmtId="166" fontId="20" fillId="16" borderId="21" xfId="3" applyFont="1" applyFill="1" applyBorder="1" applyAlignment="1">
      <alignment horizontal="center" vertical="center" wrapText="1"/>
    </xf>
    <xf numFmtId="170" fontId="20" fillId="16" borderId="19" xfId="3" applyNumberFormat="1" applyFont="1" applyFill="1" applyBorder="1" applyAlignment="1">
      <alignment horizontal="center" vertical="center"/>
    </xf>
    <xf numFmtId="171" fontId="20" fillId="16" borderId="17" xfId="3" applyNumberFormat="1" applyFont="1" applyFill="1" applyBorder="1" applyAlignment="1">
      <alignment horizontal="center" vertical="center" wrapText="1"/>
    </xf>
    <xf numFmtId="170" fontId="20" fillId="16" borderId="17" xfId="3" applyNumberFormat="1" applyFont="1" applyFill="1" applyBorder="1" applyAlignment="1">
      <alignment horizontal="center" vertical="center" wrapText="1"/>
    </xf>
    <xf numFmtId="170" fontId="20" fillId="16" borderId="19" xfId="3" applyNumberFormat="1" applyFont="1" applyFill="1" applyBorder="1" applyAlignment="1">
      <alignment horizontal="center" vertical="center" wrapText="1"/>
    </xf>
    <xf numFmtId="0" fontId="20" fillId="16" borderId="17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41" fontId="3" fillId="19" borderId="1" xfId="0" applyNumberFormat="1" applyFont="1" applyFill="1" applyBorder="1" applyAlignment="1">
      <alignment horizontal="center" vertical="center" wrapText="1"/>
    </xf>
    <xf numFmtId="41" fontId="3" fillId="18" borderId="1" xfId="0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 applyAlignment="1" applyProtection="1">
      <alignment horizontal="left" wrapText="1"/>
      <protection locked="0"/>
    </xf>
    <xf numFmtId="4" fontId="24" fillId="16" borderId="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 applyProtection="1">
      <alignment wrapText="1"/>
      <protection locked="0"/>
    </xf>
    <xf numFmtId="165" fontId="4" fillId="2" borderId="1" xfId="3" applyNumberFormat="1" applyFont="1" applyFill="1" applyBorder="1" applyAlignment="1" applyProtection="1">
      <alignment vertical="center" wrapText="1"/>
      <protection locked="0"/>
    </xf>
    <xf numFmtId="165" fontId="4" fillId="3" borderId="1" xfId="3" applyNumberFormat="1" applyFont="1" applyFill="1" applyBorder="1" applyAlignment="1" applyProtection="1">
      <alignment vertical="center" wrapText="1"/>
    </xf>
    <xf numFmtId="165" fontId="24" fillId="16" borderId="1" xfId="3" applyNumberFormat="1" applyFont="1" applyFill="1" applyBorder="1" applyAlignment="1" applyProtection="1">
      <alignment vertical="center" wrapText="1"/>
    </xf>
    <xf numFmtId="168" fontId="4" fillId="3" borderId="1" xfId="3" applyNumberFormat="1" applyFont="1" applyFill="1" applyBorder="1" applyAlignment="1" applyProtection="1">
      <alignment vertical="center" wrapText="1"/>
    </xf>
    <xf numFmtId="168" fontId="24" fillId="16" borderId="1" xfId="3" applyNumberFormat="1" applyFont="1" applyFill="1" applyBorder="1" applyAlignment="1" applyProtection="1">
      <alignment vertical="center" wrapText="1"/>
    </xf>
    <xf numFmtId="168" fontId="21" fillId="2" borderId="0" xfId="0" applyNumberFormat="1" applyFont="1" applyFill="1" applyAlignment="1" applyProtection="1">
      <alignment horizontal="left" wrapText="1"/>
      <protection locked="0"/>
    </xf>
    <xf numFmtId="168" fontId="24" fillId="16" borderId="1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0" xfId="0" applyNumberFormat="1" applyFont="1" applyAlignment="1" applyProtection="1">
      <alignment wrapText="1"/>
      <protection locked="0"/>
    </xf>
    <xf numFmtId="165" fontId="3" fillId="3" borderId="1" xfId="3" applyNumberFormat="1" applyFont="1" applyFill="1" applyBorder="1" applyAlignment="1" applyProtection="1">
      <alignment vertical="center" wrapText="1"/>
    </xf>
    <xf numFmtId="165" fontId="3" fillId="3" borderId="1" xfId="3" applyNumberFormat="1" applyFont="1" applyFill="1" applyBorder="1" applyAlignment="1" applyProtection="1">
      <alignment vertical="center"/>
    </xf>
    <xf numFmtId="168" fontId="3" fillId="3" borderId="1" xfId="2" applyNumberFormat="1" applyFont="1" applyFill="1" applyBorder="1" applyAlignment="1" applyProtection="1">
      <alignment vertical="center" wrapText="1"/>
    </xf>
    <xf numFmtId="168" fontId="3" fillId="3" borderId="1" xfId="3" applyNumberFormat="1" applyFont="1" applyFill="1" applyBorder="1" applyAlignment="1" applyProtection="1">
      <alignment vertical="center" wrapText="1"/>
    </xf>
    <xf numFmtId="165" fontId="3" fillId="5" borderId="1" xfId="3" applyNumberFormat="1" applyFont="1" applyFill="1" applyBorder="1" applyAlignment="1" applyProtection="1">
      <alignment vertical="center" wrapText="1"/>
    </xf>
    <xf numFmtId="165" fontId="3" fillId="5" borderId="1" xfId="3" applyNumberFormat="1" applyFont="1" applyFill="1" applyBorder="1" applyAlignment="1" applyProtection="1">
      <alignment vertical="center" wrapText="1"/>
      <protection locked="0"/>
    </xf>
    <xf numFmtId="165" fontId="28" fillId="5" borderId="1" xfId="3" applyNumberFormat="1" applyFont="1" applyFill="1" applyBorder="1" applyAlignment="1" applyProtection="1">
      <alignment horizontal="right" vertical="center" wrapText="1"/>
    </xf>
    <xf numFmtId="168" fontId="3" fillId="5" borderId="1" xfId="3" applyNumberFormat="1" applyFont="1" applyFill="1" applyBorder="1" applyAlignment="1" applyProtection="1">
      <alignment vertical="center" wrapText="1"/>
    </xf>
    <xf numFmtId="168" fontId="32" fillId="16" borderId="1" xfId="3" applyNumberFormat="1" applyFont="1" applyFill="1" applyBorder="1" applyAlignment="1" applyProtection="1">
      <alignment vertical="center"/>
    </xf>
    <xf numFmtId="39" fontId="32" fillId="16" borderId="1" xfId="0" applyNumberFormat="1" applyFont="1" applyFill="1" applyBorder="1" applyAlignment="1">
      <alignment vertical="center"/>
    </xf>
    <xf numFmtId="164" fontId="32" fillId="16" borderId="1" xfId="3" applyNumberFormat="1" applyFont="1" applyFill="1" applyBorder="1" applyAlignment="1" applyProtection="1">
      <alignment vertical="center"/>
    </xf>
    <xf numFmtId="164" fontId="32" fillId="16" borderId="1" xfId="3" applyNumberFormat="1" applyFont="1" applyFill="1" applyBorder="1" applyAlignment="1" applyProtection="1">
      <alignment horizontal="right" vertical="center" wrapText="1"/>
    </xf>
    <xf numFmtId="165" fontId="22" fillId="2" borderId="0" xfId="3" applyNumberFormat="1" applyFont="1" applyFill="1" applyBorder="1" applyAlignment="1" applyProtection="1">
      <alignment horizontal="right" vertical="center" wrapText="1"/>
    </xf>
    <xf numFmtId="165" fontId="22" fillId="2" borderId="0" xfId="0" applyNumberFormat="1" applyFont="1" applyFill="1" applyAlignment="1">
      <alignment horizontal="right" vertical="center" wrapText="1"/>
    </xf>
    <xf numFmtId="165" fontId="22" fillId="2" borderId="0" xfId="2" applyNumberFormat="1" applyFont="1" applyFill="1" applyBorder="1" applyAlignment="1" applyProtection="1">
      <alignment horizontal="right" vertical="center" wrapText="1"/>
    </xf>
    <xf numFmtId="165" fontId="4" fillId="2" borderId="0" xfId="0" applyNumberFormat="1" applyFont="1" applyFill="1" applyAlignment="1" applyProtection="1">
      <alignment horizontal="right" vertical="center"/>
      <protection locked="0"/>
    </xf>
    <xf numFmtId="165" fontId="4" fillId="2" borderId="0" xfId="0" applyNumberFormat="1" applyFont="1" applyFill="1" applyAlignment="1">
      <alignment horizontal="right" vertical="center" wrapText="1"/>
    </xf>
    <xf numFmtId="165" fontId="4" fillId="2" borderId="0" xfId="3" applyNumberFormat="1" applyFont="1" applyFill="1" applyBorder="1" applyAlignment="1" applyProtection="1">
      <alignment horizontal="right" vertical="center" wrapText="1"/>
      <protection locked="0"/>
    </xf>
    <xf numFmtId="165" fontId="4" fillId="0" borderId="0" xfId="0" applyNumberFormat="1" applyFont="1" applyAlignment="1" applyProtection="1">
      <alignment horizontal="right" vertical="center" wrapText="1"/>
      <protection locked="0"/>
    </xf>
    <xf numFmtId="165" fontId="4" fillId="2" borderId="0" xfId="0" applyNumberFormat="1" applyFont="1" applyFill="1" applyAlignment="1" applyProtection="1">
      <alignment horizontal="right" vertical="center" wrapText="1" readingOrder="1"/>
      <protection locked="0"/>
    </xf>
    <xf numFmtId="165" fontId="4" fillId="2" borderId="0" xfId="0" applyNumberFormat="1" applyFont="1" applyFill="1" applyAlignment="1" applyProtection="1">
      <alignment horizontal="right" vertical="center" wrapText="1"/>
      <protection locked="0"/>
    </xf>
    <xf numFmtId="168" fontId="24" fillId="16" borderId="1" xfId="2" applyNumberFormat="1" applyFont="1" applyFill="1" applyBorder="1" applyAlignment="1" applyProtection="1">
      <alignment horizontal="right" vertical="center" wrapText="1"/>
    </xf>
    <xf numFmtId="165" fontId="42" fillId="3" borderId="1" xfId="3" applyNumberFormat="1" applyFont="1" applyFill="1" applyBorder="1" applyAlignment="1" applyProtection="1">
      <alignment horizontal="right" vertical="center" wrapText="1"/>
    </xf>
    <xf numFmtId="165" fontId="42" fillId="0" borderId="1" xfId="3" applyNumberFormat="1" applyFont="1" applyFill="1" applyBorder="1" applyAlignment="1" applyProtection="1">
      <alignment horizontal="right" vertical="center" wrapText="1"/>
      <protection locked="0"/>
    </xf>
    <xf numFmtId="165" fontId="42" fillId="4" borderId="1" xfId="3" applyNumberFormat="1" applyFont="1" applyFill="1" applyBorder="1" applyAlignment="1" applyProtection="1">
      <alignment horizontal="right" vertical="center" wrapText="1"/>
    </xf>
    <xf numFmtId="165" fontId="29" fillId="16" borderId="1" xfId="3" applyNumberFormat="1" applyFont="1" applyFill="1" applyBorder="1" applyAlignment="1" applyProtection="1">
      <alignment horizontal="right" vertical="center" wrapText="1"/>
    </xf>
    <xf numFmtId="165" fontId="24" fillId="16" borderId="1" xfId="3" applyNumberFormat="1" applyFont="1" applyFill="1" applyBorder="1" applyAlignment="1" applyProtection="1">
      <alignment horizontal="right" vertical="center" wrapText="1"/>
    </xf>
    <xf numFmtId="168" fontId="24" fillId="16" borderId="1" xfId="3" applyNumberFormat="1" applyFont="1" applyFill="1" applyBorder="1" applyAlignment="1" applyProtection="1">
      <alignment horizontal="right" vertical="center" wrapText="1"/>
    </xf>
    <xf numFmtId="168" fontId="42" fillId="4" borderId="1" xfId="3" applyNumberFormat="1" applyFont="1" applyFill="1" applyBorder="1" applyAlignment="1" applyProtection="1">
      <alignment horizontal="right" vertical="center" wrapText="1"/>
    </xf>
    <xf numFmtId="165" fontId="3" fillId="2" borderId="1" xfId="3" applyNumberFormat="1" applyFont="1" applyFill="1" applyBorder="1" applyAlignment="1" applyProtection="1">
      <alignment horizontal="right" vertical="center" wrapText="1"/>
      <protection locked="0"/>
    </xf>
    <xf numFmtId="165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4" fillId="16" borderId="1" xfId="0" applyFont="1" applyFill="1" applyBorder="1" applyAlignment="1">
      <alignment horizontal="center" vertical="center" wrapText="1"/>
    </xf>
    <xf numFmtId="168" fontId="20" fillId="16" borderId="17" xfId="3" applyNumberFormat="1" applyFont="1" applyFill="1" applyBorder="1" applyAlignment="1">
      <alignment horizontal="center" vertical="center" wrapText="1"/>
    </xf>
    <xf numFmtId="168" fontId="0" fillId="0" borderId="0" xfId="3" applyNumberFormat="1" applyFont="1" applyAlignment="1">
      <alignment horizontal="center"/>
    </xf>
    <xf numFmtId="168" fontId="0" fillId="0" borderId="0" xfId="3" applyNumberFormat="1" applyFont="1"/>
    <xf numFmtId="3" fontId="20" fillId="16" borderId="20" xfId="3" applyNumberFormat="1" applyFont="1" applyFill="1" applyBorder="1" applyAlignment="1">
      <alignment horizontal="center" vertical="center" wrapText="1"/>
    </xf>
    <xf numFmtId="3" fontId="0" fillId="0" borderId="0" xfId="3" applyNumberFormat="1" applyFont="1" applyAlignment="1">
      <alignment horizontal="center"/>
    </xf>
    <xf numFmtId="3" fontId="0" fillId="0" borderId="0" xfId="3" applyNumberFormat="1" applyFont="1"/>
    <xf numFmtId="3" fontId="0" fillId="0" borderId="0" xfId="3" applyNumberFormat="1" applyFont="1" applyFill="1" applyBorder="1" applyAlignment="1">
      <alignment horizontal="center"/>
    </xf>
    <xf numFmtId="170" fontId="4" fillId="2" borderId="1" xfId="3" applyNumberFormat="1" applyFont="1" applyFill="1" applyBorder="1" applyAlignment="1" applyProtection="1">
      <alignment horizontal="right" vertical="center" wrapText="1"/>
      <protection locked="0"/>
    </xf>
    <xf numFmtId="168" fontId="4" fillId="2" borderId="1" xfId="3" applyNumberFormat="1" applyFont="1" applyFill="1" applyBorder="1" applyAlignment="1" applyProtection="1">
      <alignment horizontal="right" vertical="center" wrapText="1"/>
      <protection locked="0"/>
    </xf>
    <xf numFmtId="166" fontId="24" fillId="12" borderId="1" xfId="3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 applyProtection="1">
      <alignment horizontal="right" vertical="center" wrapText="1"/>
    </xf>
    <xf numFmtId="0" fontId="22" fillId="0" borderId="0" xfId="0" applyFont="1" applyAlignment="1" applyProtection="1">
      <alignment vertical="center"/>
      <protection locked="0"/>
    </xf>
    <xf numFmtId="0" fontId="13" fillId="0" borderId="0" xfId="1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5" fontId="4" fillId="2" borderId="0" xfId="0" applyNumberFormat="1" applyFont="1" applyFill="1" applyAlignment="1" applyProtection="1">
      <alignment vertical="center"/>
      <protection locked="0"/>
    </xf>
    <xf numFmtId="165" fontId="3" fillId="3" borderId="1" xfId="0" applyNumberFormat="1" applyFont="1" applyFill="1" applyBorder="1" applyAlignment="1">
      <alignment horizontal="right" vertical="center" wrapText="1"/>
    </xf>
    <xf numFmtId="165" fontId="3" fillId="3" borderId="1" xfId="3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6" fillId="0" borderId="0" xfId="12" applyFont="1" applyAlignment="1">
      <alignment vertical="center"/>
    </xf>
    <xf numFmtId="0" fontId="27" fillId="0" borderId="0" xfId="12" applyFont="1" applyAlignment="1">
      <alignment horizontal="left" vertical="center"/>
    </xf>
    <xf numFmtId="0" fontId="27" fillId="0" borderId="0" xfId="12" applyFont="1" applyAlignment="1">
      <alignment vertical="center"/>
    </xf>
    <xf numFmtId="3" fontId="27" fillId="0" borderId="0" xfId="12" applyNumberFormat="1" applyFont="1" applyAlignment="1">
      <alignment vertical="center"/>
    </xf>
    <xf numFmtId="166" fontId="27" fillId="0" borderId="0" xfId="3" applyFont="1" applyAlignment="1">
      <alignment vertical="center"/>
    </xf>
    <xf numFmtId="3" fontId="22" fillId="2" borderId="1" xfId="2" applyNumberFormat="1" applyFont="1" applyFill="1" applyBorder="1" applyAlignment="1" applyProtection="1">
      <alignment horizontal="center" vertical="center"/>
      <protection locked="0"/>
    </xf>
    <xf numFmtId="3" fontId="2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29" fillId="16" borderId="1" xfId="0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165" fontId="3" fillId="3" borderId="1" xfId="3" applyNumberFormat="1" applyFont="1" applyFill="1" applyBorder="1" applyAlignment="1" applyProtection="1">
      <alignment horizontal="right" vertical="center" wrapText="1"/>
      <protection locked="0"/>
    </xf>
    <xf numFmtId="165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66" fontId="42" fillId="2" borderId="0" xfId="0" applyNumberFormat="1" applyFont="1" applyFill="1" applyAlignment="1" applyProtection="1">
      <alignment horizontal="right" vertical="center" wrapText="1"/>
      <protection locked="0"/>
    </xf>
    <xf numFmtId="165" fontId="42" fillId="2" borderId="0" xfId="0" applyNumberFormat="1" applyFont="1" applyFill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/>
    </xf>
    <xf numFmtId="0" fontId="30" fillId="0" borderId="0" xfId="0" applyFont="1" applyAlignment="1" applyProtection="1">
      <alignment vertical="center"/>
      <protection locked="0"/>
    </xf>
    <xf numFmtId="0" fontId="4" fillId="0" borderId="0" xfId="0" quotePrefix="1" applyFont="1" applyAlignment="1" applyProtection="1">
      <alignment vertical="center"/>
      <protection locked="0"/>
    </xf>
    <xf numFmtId="3" fontId="3" fillId="2" borderId="1" xfId="12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14" applyNumberFormat="1" applyFont="1" applyFill="1" applyBorder="1" applyAlignment="1" applyProtection="1">
      <alignment horizontal="right" vertical="center" wrapText="1"/>
      <protection locked="0"/>
    </xf>
    <xf numFmtId="3" fontId="24" fillId="16" borderId="1" xfId="3" applyNumberFormat="1" applyFont="1" applyFill="1" applyBorder="1" applyAlignment="1" applyProtection="1">
      <alignment horizontal="center" vertical="center"/>
      <protection locked="0"/>
    </xf>
    <xf numFmtId="165" fontId="24" fillId="16" borderId="1" xfId="3" applyNumberFormat="1" applyFont="1" applyFill="1" applyBorder="1" applyAlignment="1" applyProtection="1">
      <alignment horizontal="right" vertical="center"/>
      <protection locked="0"/>
    </xf>
    <xf numFmtId="4" fontId="24" fillId="16" borderId="1" xfId="12" applyNumberFormat="1" applyFont="1" applyFill="1" applyBorder="1" applyAlignment="1" applyProtection="1">
      <alignment horizontal="right" vertical="center"/>
      <protection locked="0"/>
    </xf>
    <xf numFmtId="3" fontId="27" fillId="0" borderId="0" xfId="12" applyNumberFormat="1" applyFont="1" applyAlignment="1" applyProtection="1">
      <alignment vertical="center"/>
      <protection locked="0"/>
    </xf>
    <xf numFmtId="166" fontId="48" fillId="0" borderId="0" xfId="3" applyFont="1" applyAlignment="1" applyProtection="1">
      <alignment horizontal="center" vertical="center"/>
      <protection locked="0"/>
    </xf>
    <xf numFmtId="3" fontId="48" fillId="0" borderId="0" xfId="12" applyNumberFormat="1" applyFont="1" applyAlignment="1" applyProtection="1">
      <alignment horizontal="center" vertical="center"/>
      <protection locked="0"/>
    </xf>
    <xf numFmtId="165" fontId="22" fillId="0" borderId="0" xfId="3" applyNumberFormat="1" applyFont="1" applyAlignment="1" applyProtection="1">
      <alignment horizontal="right" vertical="center"/>
      <protection locked="0"/>
    </xf>
    <xf numFmtId="0" fontId="27" fillId="0" borderId="0" xfId="12" applyFont="1" applyAlignment="1" applyProtection="1">
      <alignment vertical="center"/>
      <protection locked="0"/>
    </xf>
    <xf numFmtId="166" fontId="27" fillId="0" borderId="0" xfId="3" applyFont="1" applyAlignment="1" applyProtection="1">
      <alignment vertical="center"/>
      <protection locked="0"/>
    </xf>
    <xf numFmtId="166" fontId="22" fillId="0" borderId="0" xfId="3" applyFont="1" applyAlignment="1" applyProtection="1">
      <alignment vertical="center"/>
      <protection locked="0"/>
    </xf>
    <xf numFmtId="0" fontId="46" fillId="0" borderId="0" xfId="12" applyFont="1" applyAlignment="1" applyProtection="1">
      <alignment vertical="center"/>
      <protection locked="0"/>
    </xf>
    <xf numFmtId="3" fontId="24" fillId="16" borderId="29" xfId="12" applyNumberFormat="1" applyFont="1" applyFill="1" applyBorder="1" applyAlignment="1" applyProtection="1">
      <alignment horizontal="center" vertical="center" wrapText="1"/>
      <protection locked="0"/>
    </xf>
    <xf numFmtId="166" fontId="24" fillId="16" borderId="29" xfId="3" applyFont="1" applyFill="1" applyBorder="1" applyAlignment="1" applyProtection="1">
      <alignment horizontal="center" vertical="center" wrapText="1"/>
      <protection locked="0"/>
    </xf>
    <xf numFmtId="0" fontId="22" fillId="0" borderId="1" xfId="12" applyFont="1" applyBorder="1" applyAlignment="1" applyProtection="1">
      <alignment vertical="center" wrapText="1" readingOrder="1"/>
      <protection locked="0"/>
    </xf>
    <xf numFmtId="168" fontId="15" fillId="0" borderId="0" xfId="2" applyNumberFormat="1" applyFont="1" applyAlignment="1" applyProtection="1">
      <alignment vertical="center"/>
      <protection locked="0"/>
    </xf>
    <xf numFmtId="0" fontId="27" fillId="0" borderId="0" xfId="12" applyFont="1" applyAlignment="1" applyProtection="1">
      <alignment horizontal="left" vertical="center"/>
      <protection locked="0"/>
    </xf>
    <xf numFmtId="0" fontId="54" fillId="16" borderId="0" xfId="12" applyFont="1" applyFill="1" applyAlignment="1">
      <alignment horizontal="center" vertical="center"/>
    </xf>
    <xf numFmtId="0" fontId="29" fillId="16" borderId="0" xfId="12" applyFont="1" applyFill="1" applyAlignment="1">
      <alignment horizontal="center" vertical="center"/>
    </xf>
    <xf numFmtId="0" fontId="4" fillId="14" borderId="31" xfId="12" applyFont="1" applyFill="1" applyBorder="1" applyAlignment="1">
      <alignment horizontal="left" vertical="center"/>
    </xf>
    <xf numFmtId="0" fontId="4" fillId="4" borderId="32" xfId="12" applyFont="1" applyFill="1" applyBorder="1" applyAlignment="1">
      <alignment horizontal="left" vertical="center"/>
    </xf>
    <xf numFmtId="0" fontId="4" fillId="3" borderId="33" xfId="12" applyFont="1" applyFill="1" applyBorder="1" applyAlignment="1">
      <alignment horizontal="left" vertical="center"/>
    </xf>
    <xf numFmtId="0" fontId="4" fillId="2" borderId="34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30" fillId="0" borderId="0" xfId="0" applyNumberFormat="1" applyFont="1" applyAlignment="1" applyProtection="1">
      <alignment vertical="center"/>
      <protection locked="0"/>
    </xf>
    <xf numFmtId="10" fontId="22" fillId="2" borderId="0" xfId="3" applyNumberFormat="1" applyFont="1" applyFill="1" applyBorder="1" applyAlignment="1" applyProtection="1">
      <alignment horizontal="right" vertical="center" wrapText="1"/>
    </xf>
    <xf numFmtId="165" fontId="42" fillId="2" borderId="1" xfId="3" applyNumberFormat="1" applyFont="1" applyFill="1" applyBorder="1" applyAlignment="1" applyProtection="1">
      <alignment horizontal="right" vertical="center" wrapText="1"/>
      <protection locked="0"/>
    </xf>
    <xf numFmtId="168" fontId="22" fillId="2" borderId="0" xfId="2" applyNumberFormat="1" applyFont="1" applyFill="1" applyBorder="1" applyAlignment="1" applyProtection="1">
      <alignment horizontal="center" vertical="center" wrapText="1"/>
    </xf>
    <xf numFmtId="2" fontId="22" fillId="2" borderId="0" xfId="2" applyNumberFormat="1" applyFont="1" applyFill="1" applyBorder="1" applyAlignment="1" applyProtection="1">
      <alignment horizontal="center" vertical="center" wrapText="1"/>
    </xf>
    <xf numFmtId="172" fontId="22" fillId="2" borderId="0" xfId="2" applyNumberFormat="1" applyFont="1" applyFill="1" applyBorder="1" applyAlignment="1" applyProtection="1">
      <alignment horizontal="center" vertical="center" wrapText="1"/>
    </xf>
    <xf numFmtId="168" fontId="22" fillId="0" borderId="0" xfId="2" applyNumberFormat="1" applyFont="1" applyBorder="1" applyAlignment="1" applyProtection="1">
      <alignment horizontal="center" vertical="center" wrapText="1"/>
    </xf>
    <xf numFmtId="8" fontId="22" fillId="0" borderId="0" xfId="0" applyNumberFormat="1" applyFont="1" applyAlignment="1">
      <alignment horizontal="center" vertical="center"/>
    </xf>
    <xf numFmtId="8" fontId="22" fillId="0" borderId="0" xfId="0" applyNumberFormat="1" applyFont="1" applyAlignment="1" applyProtection="1">
      <alignment horizontal="center" vertical="center"/>
      <protection locked="0"/>
    </xf>
    <xf numFmtId="10" fontId="22" fillId="2" borderId="0" xfId="2" applyNumberFormat="1" applyFont="1" applyFill="1" applyBorder="1" applyAlignment="1" applyProtection="1">
      <alignment horizontal="center" vertical="center" wrapText="1"/>
    </xf>
    <xf numFmtId="8" fontId="4" fillId="0" borderId="9" xfId="0" applyNumberFormat="1" applyFont="1" applyBorder="1" applyAlignment="1" applyProtection="1">
      <alignment horizontal="center" vertical="center" wrapText="1"/>
      <protection locked="0"/>
    </xf>
    <xf numFmtId="165" fontId="57" fillId="0" borderId="0" xfId="12" applyNumberFormat="1" applyFont="1" applyAlignment="1" applyProtection="1">
      <alignment horizontal="right" vertical="center"/>
      <protection locked="0"/>
    </xf>
    <xf numFmtId="9" fontId="22" fillId="0" borderId="0" xfId="2" applyFont="1" applyAlignment="1">
      <alignment horizontal="center" vertical="center"/>
    </xf>
    <xf numFmtId="0" fontId="3" fillId="20" borderId="5" xfId="0" applyFont="1" applyFill="1" applyBorder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0" fontId="24" fillId="16" borderId="1" xfId="0" applyFont="1" applyFill="1" applyBorder="1" applyAlignment="1">
      <alignment horizontal="center" vertical="center" wrapText="1"/>
    </xf>
    <xf numFmtId="0" fontId="20" fillId="16" borderId="17" xfId="0" applyFont="1" applyFill="1" applyBorder="1" applyAlignment="1">
      <alignment horizontal="center" vertical="center"/>
    </xf>
    <xf numFmtId="9" fontId="20" fillId="15" borderId="17" xfId="2" applyFont="1" applyFill="1" applyBorder="1" applyAlignment="1">
      <alignment horizontal="center" vertical="center"/>
    </xf>
    <xf numFmtId="49" fontId="20" fillId="16" borderId="17" xfId="3" applyNumberFormat="1" applyFont="1" applyFill="1" applyBorder="1" applyAlignment="1">
      <alignment horizontal="center" vertical="center"/>
    </xf>
    <xf numFmtId="49" fontId="20" fillId="16" borderId="26" xfId="3" applyNumberFormat="1" applyFont="1" applyFill="1" applyBorder="1" applyAlignment="1">
      <alignment horizontal="center" vertical="center"/>
    </xf>
    <xf numFmtId="49" fontId="20" fillId="16" borderId="22" xfId="3" applyNumberFormat="1" applyFont="1" applyFill="1" applyBorder="1" applyAlignment="1">
      <alignment horizontal="center" vertical="center"/>
    </xf>
    <xf numFmtId="170" fontId="20" fillId="16" borderId="0" xfId="3" applyNumberFormat="1" applyFont="1" applyFill="1" applyBorder="1" applyAlignment="1">
      <alignment horizontal="center" vertical="center" wrapText="1"/>
    </xf>
    <xf numFmtId="49" fontId="20" fillId="16" borderId="26" xfId="3" applyNumberFormat="1" applyFont="1" applyFill="1" applyBorder="1" applyAlignment="1">
      <alignment horizontal="center" vertical="center" wrapText="1"/>
    </xf>
    <xf numFmtId="166" fontId="20" fillId="16" borderId="23" xfId="3" applyFont="1" applyFill="1" applyBorder="1" applyAlignment="1">
      <alignment horizontal="center" vertical="center"/>
    </xf>
    <xf numFmtId="166" fontId="20" fillId="16" borderId="27" xfId="3" applyFont="1" applyFill="1" applyBorder="1" applyAlignment="1">
      <alignment horizontal="center" vertical="center"/>
    </xf>
    <xf numFmtId="166" fontId="20" fillId="16" borderId="28" xfId="3" applyFont="1" applyFill="1" applyBorder="1" applyAlignment="1">
      <alignment horizontal="center" vertical="center"/>
    </xf>
    <xf numFmtId="166" fontId="20" fillId="16" borderId="18" xfId="3" applyFont="1" applyFill="1" applyBorder="1" applyAlignment="1">
      <alignment horizontal="center" vertical="center"/>
    </xf>
    <xf numFmtId="166" fontId="20" fillId="16" borderId="24" xfId="3" applyFont="1" applyFill="1" applyBorder="1" applyAlignment="1">
      <alignment horizontal="center" vertical="center"/>
    </xf>
    <xf numFmtId="166" fontId="20" fillId="16" borderId="25" xfId="3" applyFont="1" applyFill="1" applyBorder="1" applyAlignment="1">
      <alignment horizontal="center" vertical="center"/>
    </xf>
    <xf numFmtId="9" fontId="20" fillId="10" borderId="17" xfId="2" applyFont="1" applyFill="1" applyBorder="1" applyAlignment="1">
      <alignment horizontal="center" vertical="center"/>
    </xf>
    <xf numFmtId="170" fontId="20" fillId="16" borderId="23" xfId="3" applyNumberFormat="1" applyFont="1" applyFill="1" applyBorder="1" applyAlignment="1">
      <alignment horizontal="center" vertical="center" wrapText="1"/>
    </xf>
    <xf numFmtId="170" fontId="20" fillId="16" borderId="18" xfId="3" applyNumberFormat="1" applyFont="1" applyFill="1" applyBorder="1" applyAlignment="1">
      <alignment horizontal="center" vertical="center" wrapText="1"/>
    </xf>
    <xf numFmtId="0" fontId="24" fillId="16" borderId="1" xfId="12" applyFont="1" applyFill="1" applyBorder="1" applyAlignment="1" applyProtection="1">
      <alignment horizontal="center" vertical="center" wrapText="1"/>
      <protection locked="0"/>
    </xf>
    <xf numFmtId="41" fontId="24" fillId="16" borderId="1" xfId="12" applyNumberFormat="1" applyFont="1" applyFill="1" applyBorder="1" applyAlignment="1" applyProtection="1">
      <alignment horizontal="center" vertical="center" wrapText="1"/>
      <protection locked="0"/>
    </xf>
    <xf numFmtId="41" fontId="24" fillId="16" borderId="29" xfId="12" applyNumberFormat="1" applyFont="1" applyFill="1" applyBorder="1" applyAlignment="1" applyProtection="1">
      <alignment horizontal="center" vertical="center" wrapText="1"/>
      <protection locked="0"/>
    </xf>
    <xf numFmtId="0" fontId="24" fillId="16" borderId="1" xfId="12" applyFont="1" applyFill="1" applyBorder="1" applyAlignment="1" applyProtection="1">
      <alignment horizontal="left" vertical="center" readingOrder="1"/>
      <protection locked="0"/>
    </xf>
    <xf numFmtId="0" fontId="24" fillId="16" borderId="1" xfId="12" applyFont="1" applyFill="1" applyBorder="1" applyAlignment="1" applyProtection="1">
      <alignment horizontal="left" vertical="center" wrapText="1" readingOrder="1"/>
      <protection locked="0"/>
    </xf>
    <xf numFmtId="0" fontId="24" fillId="16" borderId="1" xfId="12" applyFont="1" applyFill="1" applyBorder="1" applyAlignment="1" applyProtection="1">
      <alignment horizontal="right" vertical="center"/>
      <protection locked="0"/>
    </xf>
    <xf numFmtId="0" fontId="24" fillId="16" borderId="1" xfId="12" applyFont="1" applyFill="1" applyBorder="1" applyAlignment="1" applyProtection="1">
      <alignment horizontal="center" vertical="center" wrapText="1" readingOrder="1"/>
      <protection locked="0"/>
    </xf>
    <xf numFmtId="0" fontId="24" fillId="16" borderId="29" xfId="12" applyFont="1" applyFill="1" applyBorder="1" applyAlignment="1" applyProtection="1">
      <alignment horizontal="center" vertical="center" wrapText="1" readingOrder="1"/>
      <protection locked="0"/>
    </xf>
    <xf numFmtId="0" fontId="24" fillId="16" borderId="5" xfId="0" applyFont="1" applyFill="1" applyBorder="1" applyAlignment="1">
      <alignment horizontal="center" vertical="center"/>
    </xf>
    <xf numFmtId="0" fontId="24" fillId="16" borderId="0" xfId="0" applyFont="1" applyFill="1" applyAlignment="1">
      <alignment horizontal="center" vertical="center"/>
    </xf>
    <xf numFmtId="0" fontId="22" fillId="17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2" borderId="0" xfId="0" applyFont="1" applyFill="1" applyAlignment="1" applyProtection="1">
      <alignment horizontal="left" vertical="center" wrapText="1"/>
      <protection locked="0"/>
    </xf>
    <xf numFmtId="174" fontId="22" fillId="0" borderId="1" xfId="2" applyNumberFormat="1" applyFont="1" applyBorder="1" applyAlignment="1" applyProtection="1">
      <alignment horizontal="center" vertical="center" wrapText="1"/>
      <protection locked="0"/>
    </xf>
    <xf numFmtId="168" fontId="22" fillId="0" borderId="1" xfId="2" applyNumberFormat="1" applyFont="1" applyBorder="1" applyAlignment="1" applyProtection="1">
      <alignment horizontal="center" vertical="center" wrapText="1"/>
      <protection locked="0"/>
    </xf>
    <xf numFmtId="2" fontId="22" fillId="0" borderId="1" xfId="2" applyNumberFormat="1" applyFont="1" applyBorder="1" applyAlignment="1">
      <alignment horizontal="center" vertical="center" wrapText="1"/>
    </xf>
    <xf numFmtId="9" fontId="22" fillId="0" borderId="1" xfId="2" applyFont="1" applyBorder="1" applyAlignment="1">
      <alignment horizontal="center" vertical="center" wrapText="1"/>
    </xf>
    <xf numFmtId="168" fontId="22" fillId="0" borderId="1" xfId="2" applyNumberFormat="1" applyFont="1" applyBorder="1" applyAlignment="1">
      <alignment horizontal="center" vertical="center" wrapText="1"/>
    </xf>
    <xf numFmtId="175" fontId="4" fillId="2" borderId="1" xfId="2" applyNumberFormat="1" applyFont="1" applyFill="1" applyBorder="1" applyAlignment="1">
      <alignment horizontal="center" vertical="center" wrapText="1"/>
    </xf>
    <xf numFmtId="10" fontId="4" fillId="2" borderId="1" xfId="2" applyNumberFormat="1" applyFont="1" applyFill="1" applyBorder="1" applyAlignment="1">
      <alignment horizontal="center" vertical="center" wrapText="1"/>
    </xf>
    <xf numFmtId="168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168" fontId="22" fillId="2" borderId="0" xfId="2" applyNumberFormat="1" applyFont="1" applyFill="1" applyBorder="1" applyAlignment="1" applyProtection="1">
      <alignment horizontal="center" vertical="center" wrapText="1"/>
    </xf>
    <xf numFmtId="0" fontId="21" fillId="17" borderId="5" xfId="0" applyFont="1" applyFill="1" applyBorder="1" applyAlignment="1" applyProtection="1">
      <alignment horizontal="left" vertical="center" wrapText="1"/>
      <protection locked="0"/>
    </xf>
    <xf numFmtId="0" fontId="21" fillId="17" borderId="0" xfId="0" applyFont="1" applyFill="1" applyAlignment="1" applyProtection="1">
      <alignment horizontal="left" vertical="center" wrapText="1"/>
      <protection locked="0"/>
    </xf>
    <xf numFmtId="0" fontId="24" fillId="16" borderId="1" xfId="0" applyFont="1" applyFill="1" applyBorder="1" applyAlignment="1" applyProtection="1">
      <alignment horizontal="left" vertical="center"/>
      <protection locked="0"/>
    </xf>
    <xf numFmtId="9" fontId="22" fillId="0" borderId="29" xfId="2" applyFont="1" applyBorder="1" applyAlignment="1">
      <alignment horizontal="center" vertical="center" wrapText="1"/>
    </xf>
    <xf numFmtId="9" fontId="22" fillId="0" borderId="4" xfId="2" applyFont="1" applyBorder="1" applyAlignment="1">
      <alignment horizontal="center" vertical="center" wrapText="1"/>
    </xf>
    <xf numFmtId="0" fontId="24" fillId="16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wrapText="1"/>
      <protection locked="0"/>
    </xf>
    <xf numFmtId="174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top" wrapText="1"/>
      <protection locked="0"/>
    </xf>
    <xf numFmtId="2" fontId="22" fillId="2" borderId="1" xfId="2" applyNumberFormat="1" applyFont="1" applyFill="1" applyBorder="1" applyAlignment="1">
      <alignment horizontal="center" vertical="center" wrapText="1"/>
    </xf>
    <xf numFmtId="0" fontId="22" fillId="2" borderId="1" xfId="4" applyFont="1" applyFill="1" applyBorder="1" applyAlignment="1" applyProtection="1">
      <alignment horizontal="left" vertical="center" wrapText="1"/>
      <protection locked="0"/>
    </xf>
    <xf numFmtId="167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2" fillId="7" borderId="1" xfId="4" applyFont="1" applyFill="1" applyBorder="1" applyAlignment="1" applyProtection="1">
      <alignment horizontal="left" vertical="center" wrapText="1"/>
      <protection locked="0"/>
    </xf>
    <xf numFmtId="9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5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22" fillId="0" borderId="1" xfId="2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center" wrapText="1"/>
      <protection locked="0"/>
    </xf>
    <xf numFmtId="4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top" wrapText="1"/>
      <protection locked="0"/>
    </xf>
    <xf numFmtId="2" fontId="22" fillId="0" borderId="29" xfId="2" applyNumberFormat="1" applyFont="1" applyBorder="1" applyAlignment="1">
      <alignment horizontal="center" vertical="center" wrapText="1"/>
    </xf>
    <xf numFmtId="2" fontId="22" fillId="0" borderId="4" xfId="2" applyNumberFormat="1" applyFont="1" applyBorder="1" applyAlignment="1">
      <alignment horizontal="center" vertical="center" wrapText="1"/>
    </xf>
    <xf numFmtId="0" fontId="24" fillId="16" borderId="1" xfId="0" applyFont="1" applyFill="1" applyBorder="1" applyAlignment="1" applyProtection="1">
      <alignment horizontal="left" vertical="center" wrapText="1"/>
      <protection locked="0"/>
    </xf>
    <xf numFmtId="0" fontId="4" fillId="17" borderId="1" xfId="0" applyFont="1" applyFill="1" applyBorder="1" applyAlignment="1" applyProtection="1">
      <alignment horizontal="left" vertical="center" wrapText="1"/>
      <protection locked="0"/>
    </xf>
    <xf numFmtId="0" fontId="4" fillId="17" borderId="1" xfId="0" applyFont="1" applyFill="1" applyBorder="1" applyAlignment="1" applyProtection="1">
      <alignment horizontal="left" vertical="center"/>
      <protection locked="0"/>
    </xf>
    <xf numFmtId="168" fontId="22" fillId="0" borderId="0" xfId="2" applyNumberFormat="1" applyFont="1" applyBorder="1" applyAlignment="1" applyProtection="1">
      <alignment horizontal="center" vertical="center" wrapText="1"/>
    </xf>
    <xf numFmtId="2" fontId="22" fillId="2" borderId="0" xfId="2" applyNumberFormat="1" applyFont="1" applyFill="1" applyBorder="1" applyAlignment="1" applyProtection="1">
      <alignment horizontal="center" vertical="center" wrapText="1"/>
    </xf>
    <xf numFmtId="172" fontId="22" fillId="2" borderId="0" xfId="2" applyNumberFormat="1" applyFont="1" applyFill="1" applyBorder="1" applyAlignment="1" applyProtection="1">
      <alignment horizontal="center" vertical="center" wrapText="1"/>
    </xf>
    <xf numFmtId="0" fontId="4" fillId="2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4" fillId="5" borderId="6" xfId="0" applyFont="1" applyFill="1" applyBorder="1" applyAlignment="1" applyProtection="1">
      <alignment horizontal="left" vertical="center" wrapText="1"/>
      <protection locked="0"/>
    </xf>
    <xf numFmtId="0" fontId="24" fillId="16" borderId="2" xfId="0" applyFont="1" applyFill="1" applyBorder="1" applyAlignment="1" applyProtection="1">
      <alignment horizontal="left" vertical="center" wrapText="1"/>
      <protection locked="0"/>
    </xf>
    <xf numFmtId="0" fontId="24" fillId="16" borderId="29" xfId="0" applyFont="1" applyFill="1" applyBorder="1" applyAlignment="1" applyProtection="1">
      <alignment horizontal="left" vertical="center" wrapText="1"/>
      <protection locked="0"/>
    </xf>
    <xf numFmtId="4" fontId="24" fillId="16" borderId="1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/>
    </xf>
    <xf numFmtId="0" fontId="24" fillId="16" borderId="1" xfId="0" applyFont="1" applyFill="1" applyBorder="1" applyAlignment="1">
      <alignment horizontal="right" vertical="center" wrapText="1"/>
    </xf>
    <xf numFmtId="0" fontId="21" fillId="17" borderId="14" xfId="0" applyFont="1" applyFill="1" applyBorder="1" applyAlignment="1" applyProtection="1">
      <alignment horizontal="left" vertical="center" wrapText="1"/>
      <protection locked="0"/>
    </xf>
    <xf numFmtId="0" fontId="24" fillId="16" borderId="1" xfId="0" applyFont="1" applyFill="1" applyBorder="1" applyAlignment="1">
      <alignment horizontal="left" vertical="center" wrapText="1"/>
    </xf>
    <xf numFmtId="0" fontId="22" fillId="22" borderId="0" xfId="0" applyFont="1" applyFill="1" applyAlignment="1" applyProtection="1">
      <alignment horizontal="left" vertical="center" wrapText="1"/>
      <protection locked="0"/>
    </xf>
    <xf numFmtId="41" fontId="24" fillId="16" borderId="29" xfId="0" applyNumberFormat="1" applyFont="1" applyFill="1" applyBorder="1" applyAlignment="1">
      <alignment horizontal="center" vertical="center" wrapText="1"/>
    </xf>
    <xf numFmtId="41" fontId="24" fillId="16" borderId="4" xfId="0" applyNumberFormat="1" applyFont="1" applyFill="1" applyBorder="1" applyAlignment="1">
      <alignment horizontal="center" vertical="center" wrapText="1"/>
    </xf>
    <xf numFmtId="41" fontId="24" fillId="16" borderId="30" xfId="0" applyNumberFormat="1" applyFont="1" applyFill="1" applyBorder="1" applyAlignment="1">
      <alignment horizontal="center" vertical="center" wrapText="1"/>
    </xf>
    <xf numFmtId="0" fontId="21" fillId="17" borderId="14" xfId="0" applyFont="1" applyFill="1" applyBorder="1" applyAlignment="1" applyProtection="1">
      <alignment horizontal="justify" vertical="center" wrapText="1"/>
      <protection locked="0"/>
    </xf>
    <xf numFmtId="0" fontId="21" fillId="17" borderId="0" xfId="0" applyFont="1" applyFill="1" applyAlignment="1" applyProtection="1">
      <alignment horizontal="justify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4" fillId="16" borderId="7" xfId="0" applyFont="1" applyFill="1" applyBorder="1" applyAlignment="1" applyProtection="1">
      <alignment horizontal="left" vertical="center"/>
      <protection locked="0"/>
    </xf>
    <xf numFmtId="0" fontId="24" fillId="16" borderId="6" xfId="0" applyFont="1" applyFill="1" applyBorder="1" applyAlignment="1" applyProtection="1">
      <alignment horizontal="left" vertical="center"/>
      <protection locked="0"/>
    </xf>
    <xf numFmtId="0" fontId="24" fillId="16" borderId="3" xfId="0" applyFont="1" applyFill="1" applyBorder="1" applyAlignment="1" applyProtection="1">
      <alignment horizontal="left" vertical="center"/>
      <protection locked="0"/>
    </xf>
    <xf numFmtId="0" fontId="24" fillId="16" borderId="8" xfId="0" applyFont="1" applyFill="1" applyBorder="1" applyAlignment="1">
      <alignment horizontal="center" vertical="center" wrapText="1"/>
    </xf>
    <xf numFmtId="0" fontId="24" fillId="16" borderId="10" xfId="0" applyFont="1" applyFill="1" applyBorder="1" applyAlignment="1">
      <alignment horizontal="center" vertical="center" wrapText="1"/>
    </xf>
    <xf numFmtId="0" fontId="24" fillId="16" borderId="13" xfId="0" applyFont="1" applyFill="1" applyBorder="1" applyAlignment="1">
      <alignment horizontal="center" vertical="center" wrapText="1"/>
    </xf>
    <xf numFmtId="0" fontId="24" fillId="16" borderId="15" xfId="0" applyFont="1" applyFill="1" applyBorder="1" applyAlignment="1">
      <alignment horizontal="center" vertical="center" wrapText="1"/>
    </xf>
    <xf numFmtId="0" fontId="24" fillId="16" borderId="7" xfId="0" applyFont="1" applyFill="1" applyBorder="1" applyAlignment="1">
      <alignment horizontal="left" vertical="center" wrapText="1"/>
    </xf>
    <xf numFmtId="0" fontId="24" fillId="16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4" fillId="16" borderId="7" xfId="0" applyFont="1" applyFill="1" applyBorder="1" applyAlignment="1" applyProtection="1">
      <alignment horizontal="left" vertical="center" wrapText="1"/>
      <protection locked="0"/>
    </xf>
    <xf numFmtId="0" fontId="24" fillId="16" borderId="6" xfId="0" applyFont="1" applyFill="1" applyBorder="1" applyAlignment="1" applyProtection="1">
      <alignment horizontal="left" vertical="center" wrapText="1"/>
      <protection locked="0"/>
    </xf>
    <xf numFmtId="0" fontId="24" fillId="16" borderId="3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32" fillId="16" borderId="7" xfId="0" applyFont="1" applyFill="1" applyBorder="1" applyAlignment="1">
      <alignment horizontal="center" vertical="center" wrapText="1"/>
    </xf>
    <xf numFmtId="0" fontId="32" fillId="16" borderId="6" xfId="0" applyFont="1" applyFill="1" applyBorder="1" applyAlignment="1">
      <alignment horizontal="center" vertical="center" wrapText="1"/>
    </xf>
    <xf numFmtId="0" fontId="32" fillId="16" borderId="3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 applyProtection="1">
      <alignment horizontal="left" vertical="center"/>
      <protection locked="0"/>
    </xf>
    <xf numFmtId="0" fontId="32" fillId="16" borderId="12" xfId="0" applyFont="1" applyFill="1" applyBorder="1" applyAlignment="1">
      <alignment horizontal="center" vertical="center" wrapText="1"/>
    </xf>
    <xf numFmtId="0" fontId="32" fillId="16" borderId="0" xfId="0" applyFont="1" applyFill="1" applyAlignment="1">
      <alignment horizontal="center" vertical="center" wrapText="1"/>
    </xf>
    <xf numFmtId="0" fontId="33" fillId="8" borderId="12" xfId="0" applyFont="1" applyFill="1" applyBorder="1" applyAlignment="1" applyProtection="1">
      <alignment horizontal="left" vertical="center" wrapText="1"/>
      <protection locked="0"/>
    </xf>
    <xf numFmtId="0" fontId="33" fillId="8" borderId="0" xfId="0" applyFont="1" applyFill="1" applyAlignment="1" applyProtection="1">
      <alignment horizontal="left" vertical="center" wrapText="1"/>
      <protection locked="0"/>
    </xf>
    <xf numFmtId="0" fontId="24" fillId="16" borderId="6" xfId="0" applyFont="1" applyFill="1" applyBorder="1" applyAlignment="1">
      <alignment horizontal="left" vertical="center" wrapText="1"/>
    </xf>
    <xf numFmtId="167" fontId="24" fillId="16" borderId="29" xfId="0" applyNumberFormat="1" applyFont="1" applyFill="1" applyBorder="1" applyAlignment="1">
      <alignment horizontal="center" vertical="center" wrapText="1"/>
    </xf>
    <xf numFmtId="167" fontId="24" fillId="16" borderId="30" xfId="0" applyNumberFormat="1" applyFont="1" applyFill="1" applyBorder="1" applyAlignment="1">
      <alignment horizontal="center" vertical="center" wrapText="1"/>
    </xf>
    <xf numFmtId="167" fontId="24" fillId="16" borderId="4" xfId="0" applyNumberFormat="1" applyFont="1" applyFill="1" applyBorder="1" applyAlignment="1">
      <alignment horizontal="center" vertical="center" wrapText="1"/>
    </xf>
    <xf numFmtId="0" fontId="58" fillId="22" borderId="0" xfId="0" applyFont="1" applyFill="1" applyAlignment="1" applyProtection="1">
      <alignment horizontal="center" vertical="center" wrapText="1"/>
      <protection locked="0"/>
    </xf>
    <xf numFmtId="0" fontId="58" fillId="22" borderId="0" xfId="0" applyFont="1" applyFill="1" applyAlignment="1" applyProtection="1">
      <alignment horizontal="left" vertical="center" wrapText="1"/>
      <protection locked="0"/>
    </xf>
    <xf numFmtId="0" fontId="3" fillId="17" borderId="14" xfId="0" applyFont="1" applyFill="1" applyBorder="1" applyAlignment="1" applyProtection="1">
      <alignment horizontal="left" vertical="center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3" fillId="21" borderId="7" xfId="0" applyFont="1" applyFill="1" applyBorder="1" applyAlignment="1" applyProtection="1">
      <alignment horizontal="center" vertical="center" wrapText="1"/>
      <protection locked="0"/>
    </xf>
    <xf numFmtId="0" fontId="3" fillId="21" borderId="6" xfId="0" applyFont="1" applyFill="1" applyBorder="1" applyAlignment="1" applyProtection="1">
      <alignment horizontal="center" vertical="center" wrapText="1"/>
      <protection locked="0"/>
    </xf>
    <xf numFmtId="0" fontId="3" fillId="21" borderId="3" xfId="0" applyFont="1" applyFill="1" applyBorder="1" applyAlignment="1" applyProtection="1">
      <alignment horizontal="center" vertical="center" wrapText="1"/>
      <protection locked="0"/>
    </xf>
    <xf numFmtId="0" fontId="3" fillId="20" borderId="7" xfId="0" applyFont="1" applyFill="1" applyBorder="1" applyAlignment="1" applyProtection="1">
      <alignment horizontal="center" vertical="center" wrapText="1"/>
      <protection locked="0"/>
    </xf>
    <xf numFmtId="0" fontId="3" fillId="20" borderId="6" xfId="0" applyFont="1" applyFill="1" applyBorder="1" applyAlignment="1" applyProtection="1">
      <alignment horizontal="center" vertical="center" wrapText="1"/>
      <protection locked="0"/>
    </xf>
    <xf numFmtId="0" fontId="3" fillId="20" borderId="3" xfId="0" applyFont="1" applyFill="1" applyBorder="1" applyAlignment="1" applyProtection="1">
      <alignment horizontal="center" vertical="center" wrapText="1"/>
      <protection locked="0"/>
    </xf>
    <xf numFmtId="0" fontId="21" fillId="21" borderId="1" xfId="0" applyFont="1" applyFill="1" applyBorder="1" applyAlignment="1" applyProtection="1">
      <alignment horizontal="center" vertical="center" wrapText="1"/>
      <protection locked="0"/>
    </xf>
    <xf numFmtId="0" fontId="3" fillId="20" borderId="1" xfId="0" applyFont="1" applyFill="1" applyBorder="1" applyAlignment="1">
      <alignment horizontal="center" vertical="center" wrapText="1"/>
    </xf>
    <xf numFmtId="0" fontId="24" fillId="16" borderId="1" xfId="0" applyFont="1" applyFill="1" applyBorder="1" applyAlignment="1">
      <alignment horizontal="center" vertical="center" textRotation="90"/>
    </xf>
    <xf numFmtId="41" fontId="24" fillId="16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/>
    </xf>
    <xf numFmtId="41" fontId="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21" fillId="20" borderId="1" xfId="0" applyFont="1" applyFill="1" applyBorder="1" applyAlignment="1" applyProtection="1">
      <alignment horizontal="center" vertical="center" wrapText="1"/>
      <protection locked="0"/>
    </xf>
    <xf numFmtId="41" fontId="24" fillId="16" borderId="1" xfId="0" applyNumberFormat="1" applyFont="1" applyFill="1" applyBorder="1" applyAlignment="1">
      <alignment horizontal="left" vertical="center" wrapText="1"/>
    </xf>
    <xf numFmtId="0" fontId="43" fillId="0" borderId="12" xfId="0" applyFont="1" applyBorder="1" applyAlignment="1" applyProtection="1">
      <alignment horizontal="center" vertical="center"/>
      <protection locked="0"/>
    </xf>
    <xf numFmtId="0" fontId="26" fillId="16" borderId="1" xfId="0" applyFont="1" applyFill="1" applyBorder="1" applyAlignment="1" applyProtection="1">
      <alignment horizontal="left" vertical="center"/>
      <protection locked="0"/>
    </xf>
    <xf numFmtId="0" fontId="27" fillId="5" borderId="1" xfId="0" applyFont="1" applyFill="1" applyBorder="1" applyAlignment="1" applyProtection="1">
      <alignment horizontal="justify" vertical="center" wrapText="1"/>
      <protection locked="0"/>
    </xf>
    <xf numFmtId="0" fontId="26" fillId="16" borderId="7" xfId="0" applyFont="1" applyFill="1" applyBorder="1" applyAlignment="1" applyProtection="1">
      <alignment horizontal="center" vertical="center"/>
      <protection locked="0"/>
    </xf>
    <xf numFmtId="0" fontId="26" fillId="16" borderId="6" xfId="0" applyFont="1" applyFill="1" applyBorder="1" applyAlignment="1" applyProtection="1">
      <alignment horizontal="center" vertical="center"/>
      <protection locked="0"/>
    </xf>
    <xf numFmtId="166" fontId="26" fillId="16" borderId="1" xfId="3" applyFont="1" applyFill="1" applyBorder="1" applyAlignment="1" applyProtection="1">
      <alignment horizontal="center" vertical="center" wrapText="1"/>
      <protection locked="0"/>
    </xf>
    <xf numFmtId="168" fontId="24" fillId="16" borderId="1" xfId="3" applyNumberFormat="1" applyFont="1" applyFill="1" applyBorder="1" applyAlignment="1" applyProtection="1">
      <alignment horizontal="center" vertical="center" wrapText="1"/>
    </xf>
    <xf numFmtId="0" fontId="26" fillId="16" borderId="2" xfId="0" applyFont="1" applyFill="1" applyBorder="1" applyAlignment="1" applyProtection="1">
      <alignment horizontal="center" vertical="center" wrapText="1"/>
      <protection locked="0"/>
    </xf>
    <xf numFmtId="0" fontId="26" fillId="16" borderId="4" xfId="0" applyFont="1" applyFill="1" applyBorder="1" applyAlignment="1" applyProtection="1">
      <alignment horizontal="center" vertical="center" wrapText="1"/>
      <protection locked="0"/>
    </xf>
    <xf numFmtId="0" fontId="26" fillId="16" borderId="1" xfId="0" applyFont="1" applyFill="1" applyBorder="1" applyAlignment="1" applyProtection="1">
      <alignment horizontal="center" vertical="center" wrapText="1"/>
      <protection locked="0"/>
    </xf>
    <xf numFmtId="0" fontId="26" fillId="16" borderId="1" xfId="0" applyFont="1" applyFill="1" applyBorder="1" applyAlignment="1" applyProtection="1">
      <alignment horizontal="center" vertical="center"/>
      <protection locked="0"/>
    </xf>
    <xf numFmtId="0" fontId="24" fillId="16" borderId="29" xfId="0" applyFont="1" applyFill="1" applyBorder="1" applyAlignment="1" applyProtection="1">
      <alignment horizontal="center" vertical="center" wrapText="1"/>
      <protection locked="0"/>
    </xf>
    <xf numFmtId="0" fontId="24" fillId="16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168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75" fontId="4" fillId="0" borderId="1" xfId="2" applyNumberFormat="1" applyFont="1" applyFill="1" applyBorder="1" applyAlignment="1">
      <alignment horizontal="center" vertical="center" wrapText="1"/>
    </xf>
    <xf numFmtId="10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5" fontId="4" fillId="0" borderId="0" xfId="0" applyNumberFormat="1" applyFont="1" applyFill="1" applyAlignment="1" applyProtection="1">
      <alignment horizontal="right" vertical="center"/>
      <protection locked="0"/>
    </xf>
  </cellXfs>
  <cellStyles count="15">
    <cellStyle name="Moeda 2" xfId="5"/>
    <cellStyle name="Neutra" xfId="1" builtinId="28"/>
    <cellStyle name="Normal" xfId="0" builtinId="0"/>
    <cellStyle name="Normal 2" xfId="4"/>
    <cellStyle name="Normal 2 2" xfId="13"/>
    <cellStyle name="Normal 3" xfId="7"/>
    <cellStyle name="Normal 3 2" xfId="8"/>
    <cellStyle name="Normal 3 2 2" xfId="12"/>
    <cellStyle name="Porcentagem" xfId="2" builtinId="5"/>
    <cellStyle name="Porcentagem 2" xfId="11"/>
    <cellStyle name="Separador de milhares 2" xfId="14"/>
    <cellStyle name="Vírgula" xfId="3" builtinId="3"/>
    <cellStyle name="Vírgula 2" xfId="6"/>
    <cellStyle name="Vírgula 2 2" xfId="10"/>
    <cellStyle name="Vírgula 4" xfId="9"/>
  </cellStyles>
  <dxfs count="3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6900"/>
      <color rgb="FFFFCFAF"/>
      <color rgb="FFFFF3EB"/>
      <color rgb="FFFFF5D9"/>
      <color rgb="FFFF6600"/>
      <color rgb="FFFFCD00"/>
      <color rgb="FF530053"/>
      <color rgb="FFF09C68"/>
      <color rgb="FF2A5664"/>
      <color rgb="FFE4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8</xdr:row>
      <xdr:rowOff>179917</xdr:rowOff>
    </xdr:from>
    <xdr:to>
      <xdr:col>38</xdr:col>
      <xdr:colOff>0</xdr:colOff>
      <xdr:row>17</xdr:row>
      <xdr:rowOff>17318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3974523" y="2006985"/>
          <a:ext cx="3636818" cy="17077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3200"/>
            <a:t>Selecione seu </a:t>
          </a:r>
          <a:br>
            <a:rPr lang="pt-BR" sz="3200"/>
          </a:br>
          <a:r>
            <a:rPr lang="pt-BR" sz="3200"/>
            <a:t>UF</a:t>
          </a:r>
        </a:p>
        <a:p>
          <a:pPr algn="ctr"/>
          <a:r>
            <a:rPr lang="pt-BR" sz="3200"/>
            <a:t>na célula AI2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876300</xdr:colOff>
      <xdr:row>5</xdr:row>
      <xdr:rowOff>142875</xdr:rowOff>
    </xdr:from>
    <xdr:to>
      <xdr:col>12</xdr:col>
      <xdr:colOff>7448550</xdr:colOff>
      <xdr:row>9</xdr:row>
      <xdr:rowOff>38100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5020925" y="1905000"/>
          <a:ext cx="6572250" cy="14573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Insira acima os Objetivos Estratégico Locais definido para o CAU/UF</a:t>
          </a:r>
          <a:br>
            <a:rPr lang="pt-BR" sz="2400"/>
          </a:br>
          <a:r>
            <a:rPr lang="pt-BR" sz="2400"/>
            <a:t>De 2 a 3 objetivos (iguais ao Mapa Estratégico)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</xdr:row>
          <xdr:rowOff>57150</xdr:rowOff>
        </xdr:from>
        <xdr:to>
          <xdr:col>11</xdr:col>
          <xdr:colOff>9525</xdr:colOff>
          <xdr:row>3</xdr:row>
          <xdr:rowOff>19050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xmlns="" id="{00000000-0008-0000-03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49357</xdr:colOff>
      <xdr:row>2</xdr:row>
      <xdr:rowOff>2329296</xdr:rowOff>
    </xdr:from>
    <xdr:to>
      <xdr:col>12</xdr:col>
      <xdr:colOff>68516</xdr:colOff>
      <xdr:row>2</xdr:row>
      <xdr:rowOff>2750128</xdr:rowOff>
    </xdr:to>
    <xdr:sp macro="" textlink="">
      <xdr:nvSpPr>
        <xdr:cNvPr id="3" name="Seta para a direita 7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6716857" y="3186546"/>
          <a:ext cx="625295" cy="420832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139158</xdr:colOff>
      <xdr:row>2</xdr:row>
      <xdr:rowOff>1924053</xdr:rowOff>
    </xdr:from>
    <xdr:to>
      <xdr:col>14</xdr:col>
      <xdr:colOff>582083</xdr:colOff>
      <xdr:row>2</xdr:row>
      <xdr:rowOff>3148447</xdr:rowOff>
    </xdr:to>
    <xdr:sp macro="" textlink="">
      <xdr:nvSpPr>
        <xdr:cNvPr id="4" name="Retângulo de cantos arredondados 9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7505158" y="2781303"/>
          <a:ext cx="1670592" cy="1224394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mapa estratégico,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 inclua os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objetivos locais, no máximo três.</a:t>
          </a:r>
          <a:endParaRPr lang="pt-BR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14912</xdr:rowOff>
    </xdr:from>
    <xdr:to>
      <xdr:col>10</xdr:col>
      <xdr:colOff>569026</xdr:colOff>
      <xdr:row>5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5412"/>
          <a:ext cx="6707359" cy="3795088"/>
        </a:xfrm>
        <a:prstGeom prst="rect">
          <a:avLst/>
        </a:prstGeom>
        <a:solidFill>
          <a:schemeClr val="accent2"/>
        </a:solidFill>
        <a:ln>
          <a:noFill/>
        </a:ln>
      </xdr:spPr>
    </xdr:pic>
    <xdr:clientData/>
  </xdr:twoCellAnchor>
  <xdr:twoCellAnchor>
    <xdr:from>
      <xdr:col>12</xdr:col>
      <xdr:colOff>108907</xdr:colOff>
      <xdr:row>4</xdr:row>
      <xdr:rowOff>1547898</xdr:rowOff>
    </xdr:from>
    <xdr:to>
      <xdr:col>14</xdr:col>
      <xdr:colOff>275166</xdr:colOff>
      <xdr:row>4</xdr:row>
      <xdr:rowOff>2691725</xdr:rowOff>
    </xdr:to>
    <xdr:sp macro="" textlink="">
      <xdr:nvSpPr>
        <xdr:cNvPr id="6" name="Retângulo de cantos arredondados 10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7474907" y="7421648"/>
          <a:ext cx="1393926" cy="1143827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Facultativo a utilização dos ODS na Programação 2024.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38774</xdr:colOff>
      <xdr:row>4</xdr:row>
      <xdr:rowOff>1821296</xdr:rowOff>
    </xdr:from>
    <xdr:to>
      <xdr:col>12</xdr:col>
      <xdr:colOff>57933</xdr:colOff>
      <xdr:row>4</xdr:row>
      <xdr:rowOff>2242128</xdr:rowOff>
    </xdr:to>
    <xdr:sp macro="" textlink="">
      <xdr:nvSpPr>
        <xdr:cNvPr id="8" name="Seta para a direita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6790941" y="7695046"/>
          <a:ext cx="632992" cy="420832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24\Programa&#231;&#227;o%202024\Diretrizes\Documento\Tabelas%20Diretrizes%20Programa&#231;&#227;o%202024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23\Reprograma&#231;&#227;o%202023\CAU%20UF\Planos%20de%20A&#231;&#227;o%20-%20Formatado%20para%20Transpar&#234;ncia\Parecer%20Reprograma&#231;&#227;o%202023_CAU_B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23\Reprograma&#231;&#227;o%202023\CAU%20UF\CAU%20BA\FINAL\Plano%20de%20A&#231;&#227;o%20Reprograma&#231;&#227;o%20Ordin&#225;ria%202023_CAU_BA%20Final%20-%20Format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fs-caubr\Users\ralfe.vinhas\Desktop\Financeiro\Programa&#231;&#227;o%202023\Plano%20de%20A&#231;&#227;o%20e%20Or&#231;amento%20CAUBA%20-%20si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fs-caubr\Users\patriciagomo\Desktop\Reprograma&#231;&#227;o%202020\Tabelas%20Diretrizes%20-%20Reprog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as de Descontos - PF e  PJ"/>
      <sheetName val="SENHA "/>
      <sheetName val="Quadro 1"/>
      <sheetName val="Quadro 2"/>
      <sheetName val="Quadro 3"/>
      <sheetName val="Quadros 4 5 6"/>
      <sheetName val="Anexo X.I-Projeções (80%)"/>
      <sheetName val="Anexo III- Qde Prof_Empr_RRT"/>
      <sheetName val="Anexo IV- Qde e Valor 100%"/>
      <sheetName val="Anexo V-Resumo Valor 80% + BR"/>
      <sheetName val="Anexo VI-Repasse Fundo de Apoio"/>
      <sheetName val="Anexo VI.I-Aporte do FA"/>
      <sheetName val="Anexo VII - CSC Total"/>
      <sheetName val="Anexo VII.I-CSC-Teleatendimento"/>
      <sheetName val="Anexo VII.II-CSC -ESSENCIAIS"/>
      <sheetName val=" Anexo VIII-TARIFAS BANCÁRIAS"/>
      <sheetName val="Anexo X.II-Anuidades PF"/>
      <sheetName val="Anexo X.III- Anuidades PJ"/>
      <sheetName val="Anexo X.IV- RRT "/>
      <sheetName val="Anexo X.V-Taxas e Multas"/>
      <sheetName val="Arrecadação_Aportes "/>
      <sheetName val="Exerc.Anteriores PF-PJ"/>
      <sheetName val="PF - Projeção"/>
      <sheetName val="PJ - Projeção"/>
      <sheetName val="RRT"/>
      <sheetName val="Taxas e Multas"/>
      <sheetName val="Médias Taxas"/>
      <sheetName val="BD"/>
      <sheetName val="CSC - Tele atendimento"/>
      <sheetName val="CSC - RIA"/>
      <sheetName val="CSC -Demais Serv Essenciais"/>
      <sheetName val="CSC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C14">
            <v>8319</v>
          </cell>
          <cell r="F14">
            <v>7412</v>
          </cell>
          <cell r="O14">
            <v>1181</v>
          </cell>
          <cell r="X14">
            <v>25409</v>
          </cell>
        </row>
      </sheetData>
      <sheetData sheetId="8"/>
      <sheetData sheetId="9">
        <row r="13">
          <cell r="G13">
            <v>2540486.56</v>
          </cell>
          <cell r="M13">
            <v>235731.28</v>
          </cell>
          <cell r="O13">
            <v>2434995.29</v>
          </cell>
          <cell r="Q13">
            <v>249922.3</v>
          </cell>
          <cell r="S13">
            <v>5461135.4299999997</v>
          </cell>
        </row>
      </sheetData>
      <sheetData sheetId="10"/>
      <sheetData sheetId="11">
        <row r="7">
          <cell r="C7">
            <v>101574.18</v>
          </cell>
        </row>
      </sheetData>
      <sheetData sheetId="12">
        <row r="12">
          <cell r="B12">
            <v>1235.82</v>
          </cell>
          <cell r="C12">
            <v>55276.53</v>
          </cell>
        </row>
      </sheetData>
      <sheetData sheetId="13"/>
      <sheetData sheetId="14"/>
      <sheetData sheetId="15">
        <row r="7">
          <cell r="D7">
            <v>16155.58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Mapa Estratégico e ODS "/>
      <sheetName val="Indicadores e Metas"/>
      <sheetName val="Quadro Geral"/>
      <sheetName val="Anexo 1. Fontes e Aplicações"/>
      <sheetName val="Anexo 2. Limites Estratégicos"/>
      <sheetName val="Anexo 3. Elemento de Despesas"/>
      <sheetName val="Matriz de Obj. Estrat."/>
      <sheetName val="Receita"/>
      <sheetName val="Despesa"/>
      <sheetName val="Diretrizes - Resumo"/>
      <sheetName val="Resumo"/>
    </sheetNames>
    <sheetDataSet>
      <sheetData sheetId="0"/>
      <sheetData sheetId="1"/>
      <sheetData sheetId="2">
        <row r="7">
          <cell r="F7">
            <v>0</v>
          </cell>
        </row>
      </sheetData>
      <sheetData sheetId="3">
        <row r="8">
          <cell r="A8" t="str">
            <v>Presidência</v>
          </cell>
          <cell r="B8" t="str">
            <v>A</v>
          </cell>
          <cell r="D8" t="str">
            <v>Articulação Institucional e fomento de parcerias estratégicas.</v>
          </cell>
          <cell r="E8" t="str">
            <v>Prover recursos humanos e materiais para articular parcerias e estimular práticas voltadas a valorização e fiscalização profissional</v>
          </cell>
          <cell r="F8" t="str">
            <v>Assegurar a eficácia no relacionamento e comunicação com a sociedade</v>
          </cell>
          <cell r="G8">
            <v>0</v>
          </cell>
          <cell r="H8" t="str">
            <v>Fortalecimento e sedimentação da missão e visão do sistema CAU em face da sociedade, profissionais, instituições públicas e privadas.</v>
          </cell>
          <cell r="L8">
            <v>283857.27</v>
          </cell>
        </row>
        <row r="9">
          <cell r="A9" t="str">
            <v>Direção Geral</v>
          </cell>
          <cell r="B9" t="str">
            <v>A</v>
          </cell>
          <cell r="D9" t="str">
            <v>Manutenção Institucional</v>
          </cell>
          <cell r="E9" t="str">
            <v>Prover  a estruturação, seja por meio de recursos humanos, equipamentos,  materiais e tecnologia  para execução das atividades das diversas unidades e comissões regimentais e não regimentais do CAU/BA</v>
          </cell>
          <cell r="F9" t="str">
            <v>Construir cultura organizacional adequada à estratégia</v>
          </cell>
          <cell r="G9">
            <v>0</v>
          </cell>
          <cell r="H9" t="str">
            <v>Manter a continuidade dos serviços e atividades do CAU/BA; Assegurar o bom funcionamento, manter a organização e promover a estruturação necessária para garantia da eficácia dos serviços, desde o atendimento, fomento à valorização profissional e fiscalização.</v>
          </cell>
          <cell r="L9">
            <v>1316862.75</v>
          </cell>
        </row>
        <row r="10">
          <cell r="A10" t="str">
            <v>Gerência Técnica</v>
          </cell>
          <cell r="B10" t="str">
            <v>A</v>
          </cell>
          <cell r="D10" t="str">
            <v>Orientação, esclarecimento e atendimento de demandas de profissionais e empresas</v>
          </cell>
          <cell r="E10" t="str">
            <v xml:space="preserve">Orientar, disciplinar e promover o exercício qualificado da Arquitetura e Urbanismo </v>
          </cell>
          <cell r="F10" t="str">
            <v>Assegurar a eficácia no atendimento e no relacionamento com os Arquitetos e Urbanistas e a Sociedade</v>
          </cell>
          <cell r="G10">
            <v>0</v>
          </cell>
          <cell r="H10" t="str">
            <v xml:space="preserve">Melhorar quantitativamente e qualitativamente o atendimento prestado aos profissionais e empresas </v>
          </cell>
          <cell r="L10">
            <v>245824.94</v>
          </cell>
        </row>
        <row r="11">
          <cell r="A11" t="str">
            <v>Gerência de Operações</v>
          </cell>
          <cell r="B11" t="str">
            <v>A</v>
          </cell>
          <cell r="D11" t="str">
            <v>Operacionalização dos processos éticos e de multa/fiscalização</v>
          </cell>
          <cell r="E11" t="str">
            <v>Prover recursos humanos e materiais para operacionalizar, planejar e identificar o segmento técnico fiscalizável  e no âmbito do Estado da Bahia, além de prover a estruturação dos processos éticos.</v>
          </cell>
          <cell r="F11" t="str">
            <v>Promover o exercício ético e qualificado da profissão</v>
          </cell>
          <cell r="G11">
            <v>0</v>
          </cell>
          <cell r="H11" t="str">
            <v>Contribuir para a maximização das ações de fiscalização com utilização de mecanismos inovadores para sua efetivação; Contribuir para a maximização das ações disciplinares éticas.</v>
          </cell>
          <cell r="L11">
            <v>140828.34</v>
          </cell>
        </row>
        <row r="12">
          <cell r="A12" t="str">
            <v>Gerência Financeira</v>
          </cell>
          <cell r="B12" t="str">
            <v>A</v>
          </cell>
          <cell r="D12" t="str">
            <v>Manutenção Financeira</v>
          </cell>
          <cell r="E12" t="str">
            <v>Prover recursos humanos e materiais, operacionalizar e planejar a continuidade das ações  financeiras do CAU/BA, zelando pelo equilíbrio das contas do Conselho.</v>
          </cell>
          <cell r="F12" t="str">
            <v>Assegurar a sustentabilidade financeira</v>
          </cell>
          <cell r="G12">
            <v>0</v>
          </cell>
          <cell r="H12" t="str">
            <v>Melhoria no gerenciamento do fluxo de pagamentos e contratações, com vistas a estruturar rotinas eficazes de gestão.</v>
          </cell>
          <cell r="L12">
            <v>437377.88</v>
          </cell>
        </row>
        <row r="13">
          <cell r="A13" t="str">
            <v>Assessoria Jurídica</v>
          </cell>
          <cell r="B13" t="str">
            <v>A</v>
          </cell>
          <cell r="D13" t="str">
            <v>Consultoria e Assessoria Jurídica</v>
          </cell>
          <cell r="E13" t="str">
            <v>Prover recursos humanos e materiais para estruturar, organizar e manter em funcionamento a Assessoria Jurídica do CAU-BA.</v>
          </cell>
          <cell r="F13" t="str">
            <v>Aprimorar e inovar os processos e as ações</v>
          </cell>
          <cell r="G13">
            <v>0</v>
          </cell>
          <cell r="H13" t="str">
            <v>Elevar o conhecimento dos colaboradores em normativos aplicáveis a autarquia CAU/BA, compartilhando informações e procedimentos</v>
          </cell>
          <cell r="L13">
            <v>261015.67999999999</v>
          </cell>
        </row>
        <row r="14">
          <cell r="A14" t="str">
            <v>Comissão de Ética</v>
          </cell>
          <cell r="B14" t="str">
            <v>A</v>
          </cell>
          <cell r="D14" t="str">
            <v>Operacionalização e processamento dos  processos éticos</v>
          </cell>
          <cell r="E14" t="str">
            <v>Prover recursos humanos e materiais visando o processamento das demandas ético-disciplinares</v>
          </cell>
          <cell r="F14" t="str">
            <v>Promover o exercício ético e qualificado da profissão</v>
          </cell>
          <cell r="G14">
            <v>0</v>
          </cell>
          <cell r="H14" t="str">
            <v>Contribuir para a otimização e agilização dos processos administrativos ético-disciplinares no âmbito do CAU/BA</v>
          </cell>
          <cell r="L14">
            <v>229463.62</v>
          </cell>
        </row>
        <row r="15">
          <cell r="A15" t="str">
            <v>Comissão de Atos Administrativos</v>
          </cell>
          <cell r="B15" t="str">
            <v>A</v>
          </cell>
          <cell r="D15" t="str">
            <v>Assessoramento organizacional-institucional</v>
          </cell>
          <cell r="E15" t="str">
            <v>Prover recursos humanos e materiais visando a estruturação e organização dos normativos do CAU/BA.</v>
          </cell>
          <cell r="F15" t="str">
            <v>Aprimorar e inovar os processos e as ações</v>
          </cell>
          <cell r="G15">
            <v>0</v>
          </cell>
          <cell r="H15" t="str">
            <v>Contribuir para a otimização e agilização dos procedimentos operacionais e administrativos no âmbito do CAU/BA.</v>
          </cell>
          <cell r="L15">
            <v>75000</v>
          </cell>
        </row>
        <row r="16">
          <cell r="A16" t="str">
            <v>Comissão de Exercício Profissional e Fiscalização</v>
          </cell>
          <cell r="B16" t="str">
            <v>A</v>
          </cell>
          <cell r="D16" t="str">
            <v>Operacionalização da Fiscalização e fomento da valorização profissional</v>
          </cell>
          <cell r="E16" t="str">
            <v>Prover recursos humanos e materiais visando a estruturação e organização das ações de valorização profissional e de fiscalização.</v>
          </cell>
          <cell r="F16" t="str">
            <v>Tornar a fiscalização um vetor de melhoria do exercício da Arquitetura e Urbanismo</v>
          </cell>
          <cell r="G16">
            <v>0</v>
          </cell>
          <cell r="H16" t="str">
            <v>Contribuir para a efetivação da fiscalização, mediante análise comparativa de dados, cumprimento de diligências, participação da sociedade, com vistas a assegurar a melhoria do exercício profissional do Arquiteto e Urbanista.</v>
          </cell>
          <cell r="L16">
            <v>90000</v>
          </cell>
        </row>
        <row r="17">
          <cell r="A17" t="str">
            <v>Comissão de Planejamento e Finanças</v>
          </cell>
          <cell r="B17" t="str">
            <v>A</v>
          </cell>
          <cell r="D17" t="str">
            <v>Operacionalização, Planejamento e Controle do CAU</v>
          </cell>
          <cell r="E17" t="str">
            <v>Prover recursos humanos e materiais visando a estruturação e organização do planejamento e de controle do CAU/BA</v>
          </cell>
          <cell r="F17" t="str">
            <v>Assegurar a sustentabilidade financeira</v>
          </cell>
          <cell r="G17">
            <v>0</v>
          </cell>
          <cell r="H17" t="str">
            <v>Contribuir para a otimização e agilização dos procedimentos de planejamento e de controle no âmbito do CAU/BA</v>
          </cell>
          <cell r="L17">
            <v>75000</v>
          </cell>
        </row>
        <row r="18">
          <cell r="A18" t="str">
            <v>Comissão de Ensino</v>
          </cell>
          <cell r="B18" t="str">
            <v>A</v>
          </cell>
          <cell r="D18" t="str">
            <v>Fomento ao aperfeiçoamento e à formação profissional</v>
          </cell>
          <cell r="E18" t="str">
            <v>Prover recursos humanos e materiais visando a estruturação e organização da educação continuada e de formação profissional no âmbito do CAU/BA.</v>
          </cell>
          <cell r="F18" t="str">
            <v>Influenciar as diretrizes do ensino de Arquitetura e Urbanismo e sua formação continuada</v>
          </cell>
          <cell r="G18">
            <v>0</v>
          </cell>
          <cell r="H18" t="str">
            <v>Contribuir para a otimização e agilização dos procedimentos internos no âmbito do CAU/BA vinculados ao ensino e formação.</v>
          </cell>
          <cell r="L18">
            <v>80000</v>
          </cell>
        </row>
        <row r="19">
          <cell r="A19" t="str">
            <v>Comissão Especial de Política Profissional e Política Urbana</v>
          </cell>
          <cell r="B19" t="str">
            <v>A</v>
          </cell>
          <cell r="D19" t="str">
            <v>Fomento a ações que buscam promover melhorias da prática profissional e política urbana</v>
          </cell>
          <cell r="E19" t="str">
            <v>Prover recursos técnicos visando a estruturação ao empreendedorismo dos arquitetos e urbanistas</v>
          </cell>
          <cell r="F19" t="str">
            <v>Aprimorar e inovar os processos e as ações</v>
          </cell>
          <cell r="G19">
            <v>0</v>
          </cell>
          <cell r="H19" t="str">
            <v>Contribuir para a disseminação da cultura empreendedora e organização da atividade profissional sob a perspectiva dos negócios</v>
          </cell>
          <cell r="L19">
            <v>40000</v>
          </cell>
        </row>
        <row r="21">
          <cell r="A21" t="str">
            <v>Plenária</v>
          </cell>
          <cell r="B21" t="str">
            <v>A</v>
          </cell>
          <cell r="D21" t="str">
            <v>Operacionalização das reuniões institucionais regimentais</v>
          </cell>
          <cell r="E21" t="str">
            <v>Intercambiar informações e atualizar as diretrizes de atuação no âmbito Estadual</v>
          </cell>
          <cell r="F21" t="str">
            <v>Estimular a produção da Arquitetura e Urbanismo como política de Estado</v>
          </cell>
          <cell r="G21">
            <v>0</v>
          </cell>
          <cell r="H21" t="str">
            <v>Prover recursos humanos e materiais visando a estruturação e organização das ações do Plenário do âmbito do CAU/BA</v>
          </cell>
          <cell r="L21">
            <v>181549.92</v>
          </cell>
        </row>
        <row r="22">
          <cell r="A22" t="str">
            <v>Plenária</v>
          </cell>
          <cell r="B22" t="str">
            <v>P</v>
          </cell>
          <cell r="D22" t="str">
            <v>Semana do Arquiteto</v>
          </cell>
          <cell r="E22" t="str">
            <v>Promover evento que fomente a dignificação da Arquitetura por meio do intercâmbio de informações técnico-temático</v>
          </cell>
          <cell r="F22" t="str">
            <v>Assegurar a eficácia no relacionamento e comunicação com a sociedade</v>
          </cell>
          <cell r="G22">
            <v>0</v>
          </cell>
          <cell r="H22" t="str">
            <v>Intensificar e aproximar O CAU/BA com seu público-alvo e a sociedade em geral, além de aprimorar a atuação profissional, por meio do fomento ao aperfeiçoamento profissional.</v>
          </cell>
          <cell r="L22">
            <v>100000</v>
          </cell>
        </row>
        <row r="24">
          <cell r="A24" t="str">
            <v>Plenária</v>
          </cell>
          <cell r="B24" t="str">
            <v>P</v>
          </cell>
          <cell r="D24" t="str">
            <v>Patrocínio</v>
          </cell>
          <cell r="E24" t="str">
            <v>Intensificar parcerias voltadas ao desenvolvimento da Arquitetura e Urbanismo</v>
          </cell>
          <cell r="F24" t="str">
            <v>Estimular o conhecimento, o uso de processos criativos e a difusão das melhores práticas em Arquitetura e Urbanismo</v>
          </cell>
          <cell r="G24">
            <v>0</v>
          </cell>
          <cell r="H24" t="str">
            <v>Estruturar e solidificar parcerias estratégicas</v>
          </cell>
          <cell r="L24">
            <v>100000</v>
          </cell>
        </row>
        <row r="25">
          <cell r="A25" t="str">
            <v>Gerência  Financeira</v>
          </cell>
          <cell r="B25" t="str">
            <v>A</v>
          </cell>
          <cell r="D25" t="str">
            <v>Aporte ao Fundo de Apoio</v>
          </cell>
          <cell r="E25" t="str">
            <v>Contribuir para estruturação e distribuição de recursos vinculadas a constituição de Fundo de Apoio.</v>
          </cell>
          <cell r="F25" t="str">
            <v>Assegurar a sustentabilidade financeira</v>
          </cell>
          <cell r="G25">
            <v>0</v>
          </cell>
          <cell r="H25" t="str">
            <v>Participação na estruturação de organização sistêmica nacional</v>
          </cell>
          <cell r="L25">
            <v>63933.476996403595</v>
          </cell>
        </row>
        <row r="26">
          <cell r="A26" t="str">
            <v>Assessoria de Comunicação</v>
          </cell>
          <cell r="B26" t="str">
            <v>A</v>
          </cell>
          <cell r="D26" t="str">
            <v>Comunicação Institucional</v>
          </cell>
          <cell r="E26" t="str">
            <v>Prover recursos humanos e materiais para promover e disseminar a  missão, visão,  consolidando a marca CAU/BA</v>
          </cell>
          <cell r="F26" t="str">
            <v>Assegurar a eficácia no relacionamento e comunicação com a sociedade</v>
          </cell>
          <cell r="G26">
            <v>0</v>
          </cell>
          <cell r="H26" t="str">
            <v>Solidificar a imagem, a marca e a missão do CAU/BA enquanto instituição que busca promover a Arquitetura para todos, em defesa da sociedade</v>
          </cell>
          <cell r="L26">
            <v>434028.18</v>
          </cell>
        </row>
        <row r="27">
          <cell r="A27" t="str">
            <v>Direção Geral</v>
          </cell>
          <cell r="B27" t="str">
            <v>A</v>
          </cell>
          <cell r="D27" t="str">
            <v>Programa de Capacitação dos Colaboradores</v>
          </cell>
          <cell r="E27" t="str">
            <v>Direcionar o profissional a um processo de educação, reciclagem e alteração de comportamento</v>
          </cell>
          <cell r="F27" t="str">
            <v>Desenvolver competências de dirigentes e colaboradores</v>
          </cell>
          <cell r="G27">
            <v>0</v>
          </cell>
          <cell r="H27" t="str">
            <v>Dotar o CAU/BA de rotina continuada de fomento e de valorização dos colaboradores</v>
          </cell>
          <cell r="L27">
            <v>80000</v>
          </cell>
        </row>
        <row r="28">
          <cell r="A28" t="str">
            <v>Plenária</v>
          </cell>
          <cell r="B28" t="str">
            <v>P</v>
          </cell>
          <cell r="D28" t="str">
            <v>Programa de Assistência Técnica</v>
          </cell>
          <cell r="E28" t="str">
            <v>Disseminar e sensibilizar a assistência técnica pública e gratuita para o projeto e a construção de habitação de interesse social, como parte integrante do direito social à moradia previsto.</v>
          </cell>
          <cell r="F28" t="str">
            <v>Fomentar o acesso da sociedade à Arquitetura e Urbanismo</v>
          </cell>
          <cell r="G28">
            <v>0</v>
          </cell>
          <cell r="H28" t="str">
            <v>Valorização e disseminação da cultura da Assistência Técnica</v>
          </cell>
          <cell r="L28">
            <v>268400</v>
          </cell>
        </row>
        <row r="29">
          <cell r="A29" t="str">
            <v>Gerência de Atendimento</v>
          </cell>
          <cell r="B29" t="str">
            <v>A</v>
          </cell>
          <cell r="D29" t="str">
            <v>Atendimento da Sociedade e arquitetos e urbanistas</v>
          </cell>
          <cell r="E29" t="str">
            <v>Aperfeiçoar o atendimento aos públicos interno e externo e  aprimorar o relacionamento com a sociedade</v>
          </cell>
          <cell r="F29" t="str">
            <v>Assegurar a eficácia no atendimento e no relacionamento com os Arquitetos e Urbanistas e a Sociedade</v>
          </cell>
          <cell r="G29">
            <v>0</v>
          </cell>
          <cell r="H29" t="str">
            <v>Aperfeiçoar a qualidade do atendimento prestado aos públicos interno e externo.</v>
          </cell>
          <cell r="L29">
            <v>362422.83</v>
          </cell>
        </row>
        <row r="30">
          <cell r="A30" t="str">
            <v>Plenária</v>
          </cell>
          <cell r="B30" t="str">
            <v>P</v>
          </cell>
          <cell r="D30" t="str">
            <v>Reforma sede CAU/BA</v>
          </cell>
          <cell r="E30" t="str">
            <v>Reestruturação dos espaços e atividades</v>
          </cell>
          <cell r="F30" t="str">
            <v>Ter sistemas de informação e infraestrutura que viabilizem a gestão e o atendimento dos arquitetos e urbanistas e a sociedade</v>
          </cell>
          <cell r="G30">
            <v>0</v>
          </cell>
          <cell r="H30" t="str">
            <v>O redimensionamento dos espaços contribuirá para melhoria das atividades de fiscalização, de registro, cadastro, atendimento e funcionamento do CAU/BA</v>
          </cell>
          <cell r="L30">
            <v>800000</v>
          </cell>
        </row>
        <row r="31">
          <cell r="A31" t="str">
            <v>Plenária</v>
          </cell>
          <cell r="B31" t="str">
            <v>P</v>
          </cell>
          <cell r="D31" t="str">
            <v>Aquisição de Equipamentos</v>
          </cell>
          <cell r="E31" t="str">
            <v>Modernizar parque computacional do CAU/BA</v>
          </cell>
          <cell r="F31" t="str">
            <v>Ter sistemas de informação e infraestrutura que viabilizem a gestão e o atendimento dos arquitetos e urbanistas e a sociedade</v>
          </cell>
          <cell r="G31">
            <v>0</v>
          </cell>
          <cell r="H31" t="str">
            <v>Otimização e agilização dos procedimentos internos e redução no tempo de atendimento ao profissional Arquiteto e Urbanista</v>
          </cell>
          <cell r="L31">
            <v>640000</v>
          </cell>
        </row>
        <row r="32">
          <cell r="A32" t="str">
            <v>Gerência Financeira</v>
          </cell>
          <cell r="B32" t="str">
            <v>A</v>
          </cell>
          <cell r="D32" t="str">
            <v>CSC -Fiscalização</v>
          </cell>
          <cell r="E32" t="str">
            <v>Dotar a Gerência de Fiscalização de sistemas que facilitem a gestão e a tomada de decisão no Plano de Fiscalização do CAU/BA</v>
          </cell>
          <cell r="F32" t="str">
            <v>Tornar a fiscalização um vetor de melhoria do exercício da Arquitetura e Urbanismo</v>
          </cell>
          <cell r="G32">
            <v>0</v>
          </cell>
          <cell r="H32" t="str">
            <v>Otimização e agilização dos procedimentos internos de fiscalização</v>
          </cell>
          <cell r="L32">
            <v>334853.81</v>
          </cell>
        </row>
        <row r="33">
          <cell r="A33" t="str">
            <v>Gerência Financeira</v>
          </cell>
          <cell r="B33" t="str">
            <v>A</v>
          </cell>
          <cell r="D33" t="str">
            <v>CSC- Atendimento</v>
          </cell>
          <cell r="E33" t="str">
            <v>Dotar a Gerência de Atendimento de sistemas que facilitem e agilizem o atendimento aos profissionais</v>
          </cell>
          <cell r="F33" t="str">
            <v>Assegurar a eficácia no atendimento e no relacionamento com os Arquitetos e Urbanistas e a Sociedade</v>
          </cell>
          <cell r="G33">
            <v>0</v>
          </cell>
          <cell r="H33" t="str">
            <v xml:space="preserve">Melhoria na qualidade e na redução do tempo de atendimento </v>
          </cell>
          <cell r="L33">
            <v>48792.739578978741</v>
          </cell>
        </row>
        <row r="34">
          <cell r="A34" t="str">
            <v>Gerência de Fiscalização</v>
          </cell>
          <cell r="B34" t="str">
            <v>A</v>
          </cell>
          <cell r="D34" t="str">
            <v>Plano de Fiscalização</v>
          </cell>
          <cell r="E34" t="str">
            <v>Implementar o Plano de Fiscalização Profissional no âmbito do Estado da Bahia</v>
          </cell>
          <cell r="F34" t="str">
            <v>Tornar a fiscalização um vetor de melhoria do exercício da Arquitetura e Urbanismo</v>
          </cell>
          <cell r="G34">
            <v>0</v>
          </cell>
          <cell r="H34" t="str">
            <v>Manter a continuidade Operacional do Plano de Fiscalização, visando maximização de suas ações.</v>
          </cell>
          <cell r="L34">
            <v>365783.14</v>
          </cell>
        </row>
        <row r="35">
          <cell r="A35" t="str">
            <v>Plenária</v>
          </cell>
          <cell r="B35" t="str">
            <v>A</v>
          </cell>
          <cell r="D35" t="str">
            <v>Reserva de Contingência</v>
          </cell>
          <cell r="E35" t="str">
            <v>Suportar eventuais ações estratégicas não contempladas no PA</v>
          </cell>
          <cell r="F35" t="str">
            <v>Assegurar a sustentabilidade financeira</v>
          </cell>
          <cell r="G35">
            <v>0</v>
          </cell>
          <cell r="H35" t="str">
            <v>Possibilitar a aplicação de recursos em ações não contempladas no PA</v>
          </cell>
          <cell r="L35">
            <v>41000</v>
          </cell>
        </row>
        <row r="36">
          <cell r="A36" t="str">
            <v>Presidência</v>
          </cell>
          <cell r="B36" t="str">
            <v>P</v>
          </cell>
          <cell r="D36" t="str">
            <v>Aquisição sede CAU/BA</v>
          </cell>
          <cell r="E36" t="str">
            <v>Melhoria das instalações e das distribuições das unidades internas e atividades funcionais</v>
          </cell>
          <cell r="F36" t="str">
            <v>Ter sistemas de informação e infraestrutura que viabilizem a gestão e o atendimento dos arquitetos e urbanistas e a sociedade</v>
          </cell>
          <cell r="G36">
            <v>0</v>
          </cell>
          <cell r="H36" t="str">
            <v>O redimensionamento dos espaços contribuirá para melhoria das atividades de fiscalização, de registro, cadastro, atendimento e funcionamento do CAU/BA</v>
          </cell>
          <cell r="L36">
            <v>4000000</v>
          </cell>
        </row>
        <row r="37">
          <cell r="A37" t="str">
            <v>Plenária</v>
          </cell>
          <cell r="B37" t="str">
            <v>P</v>
          </cell>
          <cell r="D37" t="str">
            <v>Concurso</v>
          </cell>
          <cell r="E37" t="str">
            <v>Estruturar e organizar a realização do Concurso Público</v>
          </cell>
          <cell r="F37" t="str">
            <v>Aprimorar e inovar os processos e as ações</v>
          </cell>
          <cell r="G37">
            <v>0</v>
          </cell>
          <cell r="H37" t="str">
            <v>Dar conformidade e garantia ao processo de contratação de pessoal</v>
          </cell>
          <cell r="L37">
            <v>5000</v>
          </cell>
        </row>
        <row r="38">
          <cell r="A38" t="str">
            <v>Gerência Administrativa</v>
          </cell>
          <cell r="B38" t="str">
            <v>A</v>
          </cell>
          <cell r="D38" t="str">
            <v>Manutenção Administrativa</v>
          </cell>
          <cell r="E38" t="str">
            <v>Planejar e gerenciar as ações  administrativas do CAU/BA, zelando pela contratação mais vantajosa para o Conselho.</v>
          </cell>
          <cell r="F38" t="str">
            <v>Aprimorar e inovar os processos e as ações</v>
          </cell>
          <cell r="G38">
            <v>0</v>
          </cell>
          <cell r="H38" t="str">
            <v>Melhoria no gerenciamento do fluxo de contratos, com vistas a estruturar rotinas eficazes de gestão.</v>
          </cell>
          <cell r="L38">
            <v>373243.66000000003</v>
          </cell>
        </row>
        <row r="40">
          <cell r="A40" t="str">
            <v>Plenário</v>
          </cell>
          <cell r="B40" t="str">
            <v>P</v>
          </cell>
          <cell r="D40" t="str">
            <v>Projeto Intercomissões</v>
          </cell>
          <cell r="E40" t="str">
            <v xml:space="preserve">Possibilitar a aplicação de recursos em ações estratégicas de âmbito global, compreendendo a necessidade de transversalidade das ações das comissões, de modo a cumprir a função do CAU, de “orientar, disciplinar e fiscalizar o exercício da profissão de arquitetura e urbanismo, zelar pela fiel observância dos princípios de ética e disciplina da classe em todo o território nacional, bem como pugnar pelo aperfeiçoamento do exercício da arquitetura e urbanismo” </v>
          </cell>
          <cell r="F40" t="str">
            <v>Assegurar a eficácia no atendimento e no relacionamento com os Arquitetos e Urbanistas e a Sociedade</v>
          </cell>
          <cell r="G40">
            <v>0</v>
          </cell>
          <cell r="H40" t="str">
            <v>Fortalecer e sedimentar a missão do CAU/BA de “promover, em benefício da sociedade, a melhoria do exercício profissional da Arquitetura e Urbanismo, atuando com eficácia na orientação, disciplina, fiscalização e na disseminação do conhecimento”, fomentando as boas práticas profissionais e aproximando o CAU/BA do seu público-alvo e da sociedade em geral</v>
          </cell>
          <cell r="L40">
            <v>50000</v>
          </cell>
        </row>
        <row r="41">
          <cell r="A41" t="str">
            <v>Presidência</v>
          </cell>
          <cell r="B41" t="str">
            <v>P</v>
          </cell>
          <cell r="D41" t="str">
            <v xml:space="preserve">Aquisição carro </v>
          </cell>
        </row>
        <row r="42">
          <cell r="A42" t="str">
            <v>Presidência</v>
          </cell>
          <cell r="B42" t="str">
            <v>P</v>
          </cell>
          <cell r="D42" t="str">
            <v>Eleiçoes</v>
          </cell>
          <cell r="E42" t="str">
            <v>Estruturar e organizar a realização do Concurso Público</v>
          </cell>
          <cell r="F42" t="str">
            <v>Aprimorar e inovar os processos e as ações</v>
          </cell>
          <cell r="G42">
            <v>0</v>
          </cell>
          <cell r="H42" t="str">
            <v>Dar conformidade e garantia ao processo eleitoral</v>
          </cell>
          <cell r="L42">
            <v>15000</v>
          </cell>
        </row>
      </sheetData>
      <sheetData sheetId="4">
        <row r="8">
          <cell r="F8">
            <v>6099238.2365753837</v>
          </cell>
        </row>
        <row r="9">
          <cell r="F9">
            <v>5082488.16</v>
          </cell>
        </row>
        <row r="10">
          <cell r="F10">
            <v>2548823.2400000002</v>
          </cell>
        </row>
        <row r="11">
          <cell r="F11">
            <v>2318404.25</v>
          </cell>
        </row>
        <row r="12">
          <cell r="F12">
            <v>1778339.41</v>
          </cell>
        </row>
        <row r="13">
          <cell r="F13">
            <v>540064.84000000008</v>
          </cell>
        </row>
        <row r="14">
          <cell r="F14">
            <v>230418.99</v>
          </cell>
        </row>
        <row r="15">
          <cell r="F15">
            <v>114278.56</v>
          </cell>
        </row>
        <row r="16">
          <cell r="F16">
            <v>116140.43</v>
          </cell>
        </row>
        <row r="17">
          <cell r="F17">
            <v>2283881.1799999997</v>
          </cell>
        </row>
        <row r="18">
          <cell r="F18">
            <v>249783.74000000002</v>
          </cell>
        </row>
        <row r="19">
          <cell r="F19">
            <v>999999.99657538347</v>
          </cell>
        </row>
        <row r="20">
          <cell r="F20">
            <v>16750.079999999998</v>
          </cell>
        </row>
        <row r="21">
          <cell r="F21">
            <v>0</v>
          </cell>
        </row>
        <row r="22">
          <cell r="F22">
            <v>5440000</v>
          </cell>
        </row>
        <row r="23">
          <cell r="F23">
            <v>5440000</v>
          </cell>
        </row>
        <row r="24">
          <cell r="F24">
            <v>0</v>
          </cell>
        </row>
        <row r="25">
          <cell r="F25">
            <v>11539238.236575384</v>
          </cell>
        </row>
        <row r="29">
          <cell r="F29">
            <v>11050658.210000001</v>
          </cell>
        </row>
        <row r="30">
          <cell r="F30">
            <v>5978400</v>
          </cell>
        </row>
        <row r="31">
          <cell r="F31">
            <v>0</v>
          </cell>
        </row>
        <row r="32">
          <cell r="F32">
            <v>5072258.2100000009</v>
          </cell>
        </row>
        <row r="33">
          <cell r="F33">
            <v>63933.476996403595</v>
          </cell>
        </row>
        <row r="34">
          <cell r="F34">
            <v>383646.54957897874</v>
          </cell>
        </row>
        <row r="35">
          <cell r="F35">
            <v>41000</v>
          </cell>
        </row>
        <row r="36">
          <cell r="F36">
            <v>11539238.236575384</v>
          </cell>
        </row>
        <row r="37">
          <cell r="F37">
            <v>0</v>
          </cell>
        </row>
      </sheetData>
      <sheetData sheetId="5">
        <row r="6">
          <cell r="E6">
            <v>5082488.16</v>
          </cell>
          <cell r="N6">
            <v>2444498.37</v>
          </cell>
        </row>
        <row r="7">
          <cell r="E7">
            <v>0</v>
          </cell>
          <cell r="N7">
            <v>344304.72</v>
          </cell>
        </row>
        <row r="8">
          <cell r="E8">
            <v>5082488.16</v>
          </cell>
          <cell r="N8">
            <v>6099238.2365753837</v>
          </cell>
        </row>
        <row r="9">
          <cell r="E9">
            <v>63933.476996403595</v>
          </cell>
        </row>
        <row r="10">
          <cell r="E10">
            <v>5018554.683003597</v>
          </cell>
        </row>
        <row r="13">
          <cell r="E13">
            <v>790636.95</v>
          </cell>
        </row>
        <row r="14">
          <cell r="E14">
            <v>0.15754275881015309</v>
          </cell>
        </row>
        <row r="17">
          <cell r="E17">
            <v>817885.45</v>
          </cell>
        </row>
        <row r="18">
          <cell r="E18">
            <v>0.16297231008958477</v>
          </cell>
        </row>
        <row r="19">
          <cell r="E19">
            <v>100000</v>
          </cell>
        </row>
        <row r="20">
          <cell r="E20">
            <v>1.9926055670703612E-2</v>
          </cell>
        </row>
        <row r="23">
          <cell r="E23">
            <v>268400</v>
          </cell>
        </row>
        <row r="24">
          <cell r="E24">
            <v>5.3481533420168502E-2</v>
          </cell>
        </row>
        <row r="25">
          <cell r="E25">
            <v>41000</v>
          </cell>
        </row>
        <row r="26">
          <cell r="E26">
            <v>8.1696828249884813E-3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Mapa Estratégico e ODS "/>
      <sheetName val="Indicadores e Metas"/>
      <sheetName val="Quadro Geral"/>
      <sheetName val="Anexo 1. Fontes e Aplicações"/>
      <sheetName val="Anexo 2. Limites Estratégicos"/>
      <sheetName val="Anexo 3. Elemento de Despesas"/>
      <sheetName val="Matriz de Obj. Estrat."/>
      <sheetName val="Receita"/>
      <sheetName val="Despesa"/>
      <sheetName val="Diretrizes - Resumo"/>
      <sheetName val="Resumo"/>
    </sheetNames>
    <sheetDataSet>
      <sheetData sheetId="0"/>
      <sheetData sheetId="1"/>
      <sheetData sheetId="2"/>
      <sheetData sheetId="3">
        <row r="43">
          <cell r="L43">
            <v>11539238.236575384</v>
          </cell>
        </row>
      </sheetData>
      <sheetData sheetId="4">
        <row r="42">
          <cell r="C42">
            <v>6099238.2365753837</v>
          </cell>
          <cell r="F42">
            <v>6099238.2365753828</v>
          </cell>
        </row>
        <row r="43">
          <cell r="C43">
            <v>5440000</v>
          </cell>
          <cell r="F43">
            <v>5440000</v>
          </cell>
        </row>
        <row r="44">
          <cell r="C44">
            <v>11539238.236575384</v>
          </cell>
          <cell r="F44">
            <v>11539238.236575384</v>
          </cell>
        </row>
      </sheetData>
      <sheetData sheetId="5">
        <row r="13">
          <cell r="N13">
            <v>2100193.6500000004</v>
          </cell>
        </row>
        <row r="14">
          <cell r="N14">
            <v>0.3443370415350791</v>
          </cell>
        </row>
        <row r="15">
          <cell r="E15">
            <v>707040.50957897876</v>
          </cell>
          <cell r="N15">
            <v>80000</v>
          </cell>
        </row>
        <row r="16">
          <cell r="N16">
            <v>3.2726550764687154E-2</v>
          </cell>
        </row>
        <row r="21">
          <cell r="E21">
            <v>1157332.4695789786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Mapa Estratégico e ODS"/>
      <sheetName val="Indicadores e Metas"/>
      <sheetName val="Quadro Geral"/>
      <sheetName val="Anexo 1. Fontes e Aplicações"/>
      <sheetName val="Anexo 2. Limites Estratégicos"/>
      <sheetName val="Anexo 3. Elemento de Despesas"/>
      <sheetName val="Validação de dados"/>
    </sheetNames>
    <sheetDataSet>
      <sheetData sheetId="0"/>
      <sheetData sheetId="1"/>
      <sheetData sheetId="2"/>
      <sheetData sheetId="3"/>
      <sheetData sheetId="4">
        <row r="40">
          <cell r="J40">
            <v>-1.280568540096283E-9</v>
          </cell>
        </row>
      </sheetData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Validação de dados"/>
      <sheetName val="AÇÕES ESTRATÉGICAS - DESCRIÇÃ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Slide_do_Microsoft_PowerPoint1.sld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5"/>
  <sheetViews>
    <sheetView showGridLines="0" zoomScale="23" zoomScaleNormal="23" workbookViewId="0">
      <selection activeCell="A4" sqref="A4"/>
    </sheetView>
  </sheetViews>
  <sheetFormatPr defaultColWidth="0" defaultRowHeight="15.75" zeroHeight="1" x14ac:dyDescent="0.25"/>
  <cols>
    <col min="1" max="1" width="126.28515625" style="8" customWidth="1"/>
    <col min="2" max="2" width="9.140625" hidden="1" customWidth="1"/>
    <col min="3" max="25" width="0" hidden="1" customWidth="1"/>
    <col min="26" max="16384" width="9.140625" hidden="1"/>
  </cols>
  <sheetData>
    <row r="1" spans="1:11" ht="16.5" thickBot="1" x14ac:dyDescent="0.3">
      <c r="A1" s="265" t="s">
        <v>377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41.25" customHeight="1" thickBot="1" x14ac:dyDescent="0.3">
      <c r="A2" s="215" t="s">
        <v>416</v>
      </c>
    </row>
    <row r="3" spans="1:11" ht="62.25" customHeight="1" thickBot="1" x14ac:dyDescent="0.3">
      <c r="A3" s="215" t="s">
        <v>417</v>
      </c>
    </row>
    <row r="4" spans="1:11" ht="114.75" customHeight="1" thickBot="1" x14ac:dyDescent="0.3">
      <c r="A4" s="216" t="s">
        <v>418</v>
      </c>
    </row>
    <row r="5" spans="1:11" ht="77.25" customHeight="1" thickBot="1" x14ac:dyDescent="0.3">
      <c r="A5" s="215" t="s">
        <v>431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W34"/>
  <sheetViews>
    <sheetView zoomScaleNormal="100" workbookViewId="0">
      <selection activeCell="D1" sqref="D1:D13"/>
    </sheetView>
  </sheetViews>
  <sheetFormatPr defaultRowHeight="15.75" x14ac:dyDescent="0.25"/>
  <cols>
    <col min="1" max="1" width="48.7109375" style="3" bestFit="1" customWidth="1"/>
    <col min="2" max="2" width="42.5703125" style="3" bestFit="1" customWidth="1"/>
    <col min="3" max="3" width="46.28515625" style="3" bestFit="1" customWidth="1"/>
    <col min="4" max="4" width="127.85546875" style="3" customWidth="1"/>
    <col min="5" max="8" width="9.140625" style="3"/>
    <col min="9" max="9" width="13.5703125" style="3" bestFit="1" customWidth="1"/>
    <col min="10" max="49" width="9.140625" style="3"/>
  </cols>
  <sheetData>
    <row r="1" spans="1:7" x14ac:dyDescent="0.25">
      <c r="A1" s="3" t="s">
        <v>91</v>
      </c>
      <c r="B1" s="5" t="s">
        <v>61</v>
      </c>
      <c r="C1" s="5" t="s">
        <v>139</v>
      </c>
      <c r="D1" s="3" t="s">
        <v>28</v>
      </c>
      <c r="E1" s="3" t="s">
        <v>274</v>
      </c>
      <c r="G1" s="3" t="s">
        <v>324</v>
      </c>
    </row>
    <row r="2" spans="1:7" x14ac:dyDescent="0.25">
      <c r="A2" s="3" t="s">
        <v>99</v>
      </c>
      <c r="B2" s="5" t="s">
        <v>40</v>
      </c>
      <c r="C2" s="5" t="s">
        <v>140</v>
      </c>
      <c r="D2" s="3" t="s">
        <v>109</v>
      </c>
      <c r="E2" s="3" t="s">
        <v>275</v>
      </c>
      <c r="G2" s="3" t="s">
        <v>322</v>
      </c>
    </row>
    <row r="3" spans="1:7" x14ac:dyDescent="0.25">
      <c r="A3" s="3" t="s">
        <v>100</v>
      </c>
      <c r="B3" s="4" t="s">
        <v>35</v>
      </c>
      <c r="C3" s="5" t="s">
        <v>110</v>
      </c>
      <c r="D3" s="3" t="s">
        <v>27</v>
      </c>
      <c r="E3" s="3" t="s">
        <v>276</v>
      </c>
      <c r="G3" s="3" t="s">
        <v>321</v>
      </c>
    </row>
    <row r="4" spans="1:7" x14ac:dyDescent="0.25">
      <c r="A4" s="3" t="s">
        <v>101</v>
      </c>
      <c r="B4" s="6" t="s">
        <v>131</v>
      </c>
      <c r="C4" s="5" t="s">
        <v>111</v>
      </c>
      <c r="D4" s="3" t="s">
        <v>30</v>
      </c>
      <c r="E4" s="3" t="s">
        <v>277</v>
      </c>
      <c r="G4" s="3" t="s">
        <v>319</v>
      </c>
    </row>
    <row r="5" spans="1:7" x14ac:dyDescent="0.25">
      <c r="A5" s="3" t="s">
        <v>92</v>
      </c>
      <c r="B5" s="6" t="s">
        <v>132</v>
      </c>
      <c r="C5" s="5" t="s">
        <v>112</v>
      </c>
      <c r="D5" s="3" t="s">
        <v>29</v>
      </c>
      <c r="E5" s="3" t="s">
        <v>278</v>
      </c>
      <c r="G5" s="3" t="s">
        <v>317</v>
      </c>
    </row>
    <row r="6" spans="1:7" x14ac:dyDescent="0.25">
      <c r="A6" s="3" t="s">
        <v>102</v>
      </c>
      <c r="B6" s="6" t="s">
        <v>133</v>
      </c>
      <c r="C6" s="5" t="s">
        <v>113</v>
      </c>
      <c r="D6" s="3" t="s">
        <v>115</v>
      </c>
      <c r="E6" s="3" t="s">
        <v>279</v>
      </c>
      <c r="G6" s="3" t="s">
        <v>315</v>
      </c>
    </row>
    <row r="7" spans="1:7" x14ac:dyDescent="0.25">
      <c r="A7" s="3" t="s">
        <v>222</v>
      </c>
      <c r="B7" s="6" t="s">
        <v>134</v>
      </c>
      <c r="C7" s="5" t="s">
        <v>114</v>
      </c>
      <c r="D7" s="3" t="s">
        <v>21</v>
      </c>
      <c r="G7" s="3" t="s">
        <v>314</v>
      </c>
    </row>
    <row r="8" spans="1:7" x14ac:dyDescent="0.25">
      <c r="A8" s="3" t="s">
        <v>93</v>
      </c>
      <c r="B8" s="6" t="s">
        <v>135</v>
      </c>
      <c r="C8" s="5" t="s">
        <v>116</v>
      </c>
      <c r="D8" s="3" t="s">
        <v>26</v>
      </c>
      <c r="G8" s="3" t="s">
        <v>313</v>
      </c>
    </row>
    <row r="9" spans="1:7" x14ac:dyDescent="0.25">
      <c r="A9" s="3" t="s">
        <v>103</v>
      </c>
      <c r="B9" s="6" t="s">
        <v>143</v>
      </c>
      <c r="C9" s="5" t="s">
        <v>117</v>
      </c>
      <c r="D9" s="3" t="s">
        <v>142</v>
      </c>
      <c r="G9" s="3" t="s">
        <v>311</v>
      </c>
    </row>
    <row r="10" spans="1:7" x14ac:dyDescent="0.25">
      <c r="A10" s="3" t="s">
        <v>94</v>
      </c>
      <c r="B10" s="5" t="s">
        <v>37</v>
      </c>
      <c r="C10" s="5" t="s">
        <v>118</v>
      </c>
      <c r="D10" s="3" t="s">
        <v>18</v>
      </c>
      <c r="G10" s="3" t="s">
        <v>310</v>
      </c>
    </row>
    <row r="11" spans="1:7" x14ac:dyDescent="0.25">
      <c r="A11" s="3" t="s">
        <v>95</v>
      </c>
      <c r="B11" s="5" t="s">
        <v>2</v>
      </c>
      <c r="C11" s="5" t="s">
        <v>119</v>
      </c>
      <c r="D11" s="3" t="s">
        <v>121</v>
      </c>
      <c r="G11" s="3" t="s">
        <v>307</v>
      </c>
    </row>
    <row r="12" spans="1:7" x14ac:dyDescent="0.25">
      <c r="A12" s="3" t="s">
        <v>104</v>
      </c>
      <c r="C12" s="5" t="s">
        <v>120</v>
      </c>
      <c r="D12" s="3" t="s">
        <v>25</v>
      </c>
      <c r="G12" s="3" t="s">
        <v>305</v>
      </c>
    </row>
    <row r="13" spans="1:7" x14ac:dyDescent="0.25">
      <c r="A13" s="3" t="s">
        <v>105</v>
      </c>
      <c r="B13" s="4"/>
      <c r="C13" s="5" t="s">
        <v>122</v>
      </c>
      <c r="D13" s="3" t="s">
        <v>141</v>
      </c>
      <c r="G13" s="3" t="s">
        <v>303</v>
      </c>
    </row>
    <row r="14" spans="1:7" x14ac:dyDescent="0.25">
      <c r="A14" s="3" t="s">
        <v>96</v>
      </c>
      <c r="B14" s="4"/>
      <c r="C14" s="5" t="s">
        <v>123</v>
      </c>
      <c r="G14" s="3" t="s">
        <v>301</v>
      </c>
    </row>
    <row r="15" spans="1:7" x14ac:dyDescent="0.25">
      <c r="A15" s="3" t="s">
        <v>106</v>
      </c>
      <c r="B15" s="4"/>
      <c r="C15" s="5" t="s">
        <v>124</v>
      </c>
      <c r="G15" s="3" t="s">
        <v>300</v>
      </c>
    </row>
    <row r="16" spans="1:7" x14ac:dyDescent="0.25">
      <c r="A16" s="3" t="s">
        <v>97</v>
      </c>
      <c r="B16" s="4"/>
      <c r="C16" s="5" t="s">
        <v>125</v>
      </c>
      <c r="G16" s="3" t="s">
        <v>276</v>
      </c>
    </row>
    <row r="17" spans="1:7" x14ac:dyDescent="0.25">
      <c r="A17" s="3" t="s">
        <v>98</v>
      </c>
      <c r="B17" s="4"/>
      <c r="C17" s="5" t="s">
        <v>126</v>
      </c>
      <c r="G17" s="3" t="s">
        <v>299</v>
      </c>
    </row>
    <row r="18" spans="1:7" x14ac:dyDescent="0.25">
      <c r="B18" s="4"/>
      <c r="C18" s="5" t="s">
        <v>127</v>
      </c>
      <c r="D18" s="3" t="s">
        <v>28</v>
      </c>
      <c r="G18" s="3" t="s">
        <v>298</v>
      </c>
    </row>
    <row r="19" spans="1:7" x14ac:dyDescent="0.25">
      <c r="C19" s="5" t="s">
        <v>128</v>
      </c>
      <c r="D19" s="3" t="s">
        <v>109</v>
      </c>
      <c r="G19" s="3" t="s">
        <v>297</v>
      </c>
    </row>
    <row r="20" spans="1:7" x14ac:dyDescent="0.25">
      <c r="C20" s="5" t="s">
        <v>129</v>
      </c>
      <c r="D20" s="3" t="s">
        <v>24</v>
      </c>
      <c r="G20" s="3" t="s">
        <v>296</v>
      </c>
    </row>
    <row r="21" spans="1:7" x14ac:dyDescent="0.25">
      <c r="C21" s="5" t="s">
        <v>130</v>
      </c>
      <c r="D21" s="3" t="s">
        <v>27</v>
      </c>
      <c r="G21" s="3" t="s">
        <v>295</v>
      </c>
    </row>
    <row r="22" spans="1:7" x14ac:dyDescent="0.25">
      <c r="D22" s="3" t="s">
        <v>30</v>
      </c>
      <c r="G22" s="3" t="s">
        <v>294</v>
      </c>
    </row>
    <row r="23" spans="1:7" x14ac:dyDescent="0.25">
      <c r="D23" s="3" t="s">
        <v>29</v>
      </c>
      <c r="G23" s="3" t="s">
        <v>293</v>
      </c>
    </row>
    <row r="24" spans="1:7" x14ac:dyDescent="0.25">
      <c r="D24" s="3" t="s">
        <v>115</v>
      </c>
      <c r="G24" s="3" t="s">
        <v>292</v>
      </c>
    </row>
    <row r="25" spans="1:7" x14ac:dyDescent="0.25">
      <c r="D25" s="3" t="s">
        <v>21</v>
      </c>
      <c r="G25" s="3" t="s">
        <v>291</v>
      </c>
    </row>
    <row r="26" spans="1:7" x14ac:dyDescent="0.25">
      <c r="D26" s="3" t="s">
        <v>26</v>
      </c>
      <c r="G26" s="3" t="s">
        <v>290</v>
      </c>
    </row>
    <row r="27" spans="1:7" x14ac:dyDescent="0.25">
      <c r="D27" s="3" t="s">
        <v>142</v>
      </c>
      <c r="G27" s="3" t="s">
        <v>289</v>
      </c>
    </row>
    <row r="28" spans="1:7" x14ac:dyDescent="0.25">
      <c r="D28" s="3" t="s">
        <v>18</v>
      </c>
      <c r="G28" s="3" t="s">
        <v>369</v>
      </c>
    </row>
    <row r="29" spans="1:7" x14ac:dyDescent="0.25">
      <c r="D29" s="3" t="s">
        <v>121</v>
      </c>
    </row>
    <row r="30" spans="1:7" x14ac:dyDescent="0.25">
      <c r="D30" s="3" t="s">
        <v>25</v>
      </c>
    </row>
    <row r="31" spans="1:7" x14ac:dyDescent="0.25">
      <c r="D31" s="3" t="s">
        <v>31</v>
      </c>
    </row>
    <row r="32" spans="1:7" x14ac:dyDescent="0.25">
      <c r="D32" s="3" t="s">
        <v>19</v>
      </c>
    </row>
    <row r="33" spans="1:4" x14ac:dyDescent="0.25">
      <c r="D33" s="3" t="s">
        <v>141</v>
      </c>
    </row>
    <row r="34" spans="1:4" x14ac:dyDescent="0.25">
      <c r="A34" s="3" t="s">
        <v>401</v>
      </c>
    </row>
  </sheetData>
  <sortState ref="D18:D33">
    <sortCondition ref="D18:D33"/>
  </sortState>
  <pageMargins left="0.511811024" right="0.511811024" top="0.78740157499999996" bottom="0.78740157499999996" header="0.31496062000000002" footer="0.31496062000000002"/>
  <pageSetup paperSize="2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P36"/>
  <sheetViews>
    <sheetView showGridLines="0" topLeftCell="AH2" zoomScaleNormal="100" workbookViewId="0">
      <selection activeCell="AM15" sqref="AM15"/>
    </sheetView>
  </sheetViews>
  <sheetFormatPr defaultColWidth="9.140625" defaultRowHeight="15.75" zeroHeight="1" x14ac:dyDescent="0.25"/>
  <cols>
    <col min="1" max="1" width="13.28515625" style="16" hidden="1" customWidth="1"/>
    <col min="2" max="2" width="15.42578125" style="15" hidden="1" customWidth="1"/>
    <col min="3" max="9" width="15.5703125" style="15" hidden="1" customWidth="1"/>
    <col min="10" max="10" width="16.140625" style="13" hidden="1" customWidth="1"/>
    <col min="11" max="11" width="13.28515625" style="14" hidden="1" customWidth="1"/>
    <col min="12" max="14" width="15.42578125" style="13" hidden="1" customWidth="1"/>
    <col min="15" max="15" width="2.28515625" style="13" hidden="1" customWidth="1"/>
    <col min="16" max="17" width="16.42578125" style="13" hidden="1" customWidth="1"/>
    <col min="18" max="18" width="2.85546875" style="12" hidden="1" customWidth="1"/>
    <col min="19" max="19" width="16.140625" style="13" hidden="1" customWidth="1"/>
    <col min="20" max="20" width="2.85546875" style="12" hidden="1" customWidth="1"/>
    <col min="21" max="21" width="16.42578125" style="193" hidden="1" customWidth="1"/>
    <col min="22" max="22" width="19.85546875" style="193" hidden="1" customWidth="1"/>
    <col min="23" max="23" width="16.42578125" style="190" hidden="1" customWidth="1"/>
    <col min="24" max="24" width="16.42578125" style="10" hidden="1" customWidth="1"/>
    <col min="25" max="25" width="16.42578125" style="11" hidden="1" customWidth="1"/>
    <col min="26" max="26" width="16.42578125" style="10" hidden="1" customWidth="1"/>
    <col min="27" max="27" width="2.85546875" hidden="1" customWidth="1"/>
    <col min="28" max="28" width="11.28515625" hidden="1" customWidth="1"/>
    <col min="29" max="29" width="4.42578125" hidden="1" customWidth="1"/>
    <col min="30" max="30" width="18.85546875" hidden="1" customWidth="1"/>
    <col min="31" max="31" width="4.7109375" hidden="1" customWidth="1"/>
    <col min="32" max="32" width="18.85546875" style="10" hidden="1" customWidth="1"/>
    <col min="33" max="33" width="9.85546875" hidden="1" customWidth="1"/>
    <col min="34" max="34" width="39.140625" style="2" bestFit="1" customWidth="1"/>
    <col min="35" max="35" width="15.7109375" style="2" bestFit="1" customWidth="1"/>
    <col min="36" max="36" width="11.7109375" bestFit="1" customWidth="1"/>
    <col min="37" max="37" width="39" style="2" bestFit="1" customWidth="1"/>
    <col min="38" max="38" width="15.5703125" bestFit="1" customWidth="1"/>
    <col min="39" max="39" width="11.7109375" bestFit="1" customWidth="1"/>
    <col min="40" max="41" width="9.140625" customWidth="1"/>
    <col min="42" max="42" width="12.42578125" customWidth="1"/>
  </cols>
  <sheetData>
    <row r="1" spans="1:42" ht="16.5" hidden="1" thickBot="1" x14ac:dyDescent="0.3">
      <c r="A1" s="268" t="s">
        <v>346</v>
      </c>
      <c r="B1" s="269">
        <v>0.8</v>
      </c>
      <c r="C1" s="269"/>
      <c r="D1" s="269"/>
      <c r="E1" s="269"/>
      <c r="F1" s="269"/>
      <c r="G1" s="269"/>
      <c r="H1" s="269"/>
      <c r="I1" s="269"/>
      <c r="J1" s="269"/>
      <c r="L1" s="275" t="s">
        <v>345</v>
      </c>
      <c r="M1" s="276"/>
      <c r="N1" s="277"/>
      <c r="P1" s="276" t="s">
        <v>344</v>
      </c>
      <c r="Q1" s="276"/>
      <c r="S1" s="276" t="s">
        <v>343</v>
      </c>
      <c r="U1" s="281" t="s">
        <v>342</v>
      </c>
      <c r="V1" s="281"/>
      <c r="W1" s="281"/>
      <c r="X1" s="281"/>
      <c r="Y1" s="281"/>
      <c r="Z1" s="281"/>
    </row>
    <row r="2" spans="1:42" s="38" customFormat="1" ht="16.5" thickBot="1" x14ac:dyDescent="0.3">
      <c r="A2" s="268"/>
      <c r="B2" s="270" t="s">
        <v>340</v>
      </c>
      <c r="C2" s="270"/>
      <c r="D2" s="270"/>
      <c r="E2" s="270" t="s">
        <v>339</v>
      </c>
      <c r="F2" s="270"/>
      <c r="G2" s="270"/>
      <c r="H2" s="271" t="s">
        <v>338</v>
      </c>
      <c r="I2" s="271" t="s">
        <v>341</v>
      </c>
      <c r="J2" s="274" t="s">
        <v>372</v>
      </c>
      <c r="K2" s="41"/>
      <c r="L2" s="278"/>
      <c r="M2" s="279"/>
      <c r="N2" s="280"/>
      <c r="O2" s="40"/>
      <c r="P2" s="279"/>
      <c r="Q2" s="279"/>
      <c r="R2" s="39"/>
      <c r="S2" s="279"/>
      <c r="T2" s="39"/>
      <c r="U2" s="270" t="s">
        <v>340</v>
      </c>
      <c r="V2" s="270"/>
      <c r="W2" s="270"/>
      <c r="X2" s="270" t="s">
        <v>339</v>
      </c>
      <c r="Y2" s="270"/>
      <c r="Z2" s="135" t="s">
        <v>338</v>
      </c>
      <c r="AB2" s="282" t="s">
        <v>316</v>
      </c>
      <c r="AD2" s="282" t="s">
        <v>388</v>
      </c>
      <c r="AF2" s="273" t="s">
        <v>398</v>
      </c>
      <c r="AH2" s="187" t="s">
        <v>337</v>
      </c>
      <c r="AI2" s="197" t="s">
        <v>317</v>
      </c>
      <c r="AK2" s="267" t="s">
        <v>336</v>
      </c>
      <c r="AL2" s="267"/>
    </row>
    <row r="3" spans="1:42" s="34" customFormat="1" ht="45.75" thickBot="1" x14ac:dyDescent="0.3">
      <c r="A3" s="268"/>
      <c r="B3" s="132" t="s">
        <v>335</v>
      </c>
      <c r="C3" s="132" t="s">
        <v>334</v>
      </c>
      <c r="D3" s="132" t="s">
        <v>373</v>
      </c>
      <c r="E3" s="132" t="s">
        <v>335</v>
      </c>
      <c r="F3" s="132" t="s">
        <v>334</v>
      </c>
      <c r="G3" s="132" t="s">
        <v>373</v>
      </c>
      <c r="H3" s="272"/>
      <c r="I3" s="272"/>
      <c r="J3" s="272"/>
      <c r="K3" s="37"/>
      <c r="L3" s="132" t="s">
        <v>333</v>
      </c>
      <c r="M3" s="132" t="s">
        <v>332</v>
      </c>
      <c r="N3" s="132" t="s">
        <v>331</v>
      </c>
      <c r="O3" s="36"/>
      <c r="P3" s="133" t="s">
        <v>330</v>
      </c>
      <c r="Q3" s="133" t="s">
        <v>329</v>
      </c>
      <c r="R3" s="35"/>
      <c r="S3" s="134" t="s">
        <v>328</v>
      </c>
      <c r="T3" s="35"/>
      <c r="U3" s="191" t="s">
        <v>347</v>
      </c>
      <c r="V3" s="191" t="s">
        <v>348</v>
      </c>
      <c r="W3" s="188" t="s">
        <v>327</v>
      </c>
      <c r="X3" s="137" t="s">
        <v>326</v>
      </c>
      <c r="Y3" s="136" t="s">
        <v>327</v>
      </c>
      <c r="Z3" s="138" t="s">
        <v>326</v>
      </c>
      <c r="AB3" s="283"/>
      <c r="AD3" s="283"/>
      <c r="AF3" s="273"/>
      <c r="AH3" s="29" t="s">
        <v>8</v>
      </c>
      <c r="AI3" s="33">
        <f>AI4+AI14+AI15+AI16</f>
        <v>5477291.0099999998</v>
      </c>
      <c r="AK3" s="29" t="s">
        <v>325</v>
      </c>
      <c r="AL3" s="28">
        <f>VLOOKUP($AI$2,'Diretrizes - Resumo'!$A$4:$AF$30,16,)</f>
        <v>433447.85</v>
      </c>
      <c r="AM3" s="34">
        <v>433447.85</v>
      </c>
    </row>
    <row r="4" spans="1:42" ht="16.5" thickBot="1" x14ac:dyDescent="0.3">
      <c r="A4" s="139" t="s">
        <v>324</v>
      </c>
      <c r="B4" s="15">
        <v>199775.49</v>
      </c>
      <c r="C4" s="15">
        <v>50831.97</v>
      </c>
      <c r="D4" s="20">
        <f t="shared" ref="D4" si="0">B4+C4</f>
        <v>250607.46</v>
      </c>
      <c r="E4" s="15">
        <v>21035.86</v>
      </c>
      <c r="F4" s="15">
        <v>15616.73</v>
      </c>
      <c r="G4" s="20">
        <f t="shared" ref="G4" si="1">E4+F4</f>
        <v>36652.589999999997</v>
      </c>
      <c r="H4" s="15">
        <v>294395.90000000002</v>
      </c>
      <c r="I4" s="15">
        <v>40664.76</v>
      </c>
      <c r="J4" s="20">
        <f t="shared" ref="J4:J30" si="2">I4+H4+G4+D4</f>
        <v>622320.71</v>
      </c>
      <c r="K4" s="42">
        <v>0</v>
      </c>
      <c r="L4" s="15">
        <v>11574.73</v>
      </c>
      <c r="M4" s="15">
        <v>23625.16</v>
      </c>
      <c r="N4" s="15">
        <v>932276.14479999989</v>
      </c>
      <c r="P4" s="15">
        <v>47917</v>
      </c>
      <c r="Q4" s="15">
        <v>6204.49</v>
      </c>
      <c r="S4" s="15">
        <v>3028.56</v>
      </c>
      <c r="T4" s="15"/>
      <c r="U4" s="192">
        <v>810</v>
      </c>
      <c r="V4" s="192">
        <v>797</v>
      </c>
      <c r="W4" s="189">
        <v>0.4175680893439776</v>
      </c>
      <c r="X4" s="192">
        <v>197</v>
      </c>
      <c r="Y4" s="189">
        <v>0.59898477157360408</v>
      </c>
      <c r="Z4" s="192">
        <v>3072</v>
      </c>
      <c r="AA4" s="15"/>
      <c r="AB4" s="15"/>
      <c r="AC4" s="15"/>
      <c r="AD4" s="15">
        <v>763867.72000000009</v>
      </c>
      <c r="AE4" s="13"/>
      <c r="AF4" s="84">
        <v>830026</v>
      </c>
      <c r="AH4" s="24" t="s">
        <v>76</v>
      </c>
      <c r="AI4" s="33">
        <f>AI5+AI12+AI13</f>
        <v>5461135.4299999997</v>
      </c>
      <c r="AJ4" t="b">
        <f>AI4='[1]Anexo V-Resumo Valor 80% + BR'!$S$13</f>
        <v>1</v>
      </c>
      <c r="AK4" s="24" t="s">
        <v>323</v>
      </c>
      <c r="AL4" s="28">
        <f>VLOOKUP($AI$2,'Diretrizes - Resumo'!$A$4:$AF$30,17,)</f>
        <v>56512.35</v>
      </c>
      <c r="AM4" t="b">
        <f>AL4='[1]Anexo VII - CSC Total'!$B$12+'[1]Anexo VII - CSC Total'!$C$12</f>
        <v>1</v>
      </c>
      <c r="AP4" s="18"/>
    </row>
    <row r="5" spans="1:42" ht="16.5" thickBot="1" x14ac:dyDescent="0.3">
      <c r="A5" s="139" t="s">
        <v>322</v>
      </c>
      <c r="B5" s="15">
        <v>637415.41</v>
      </c>
      <c r="C5" s="15">
        <v>150894.57999999999</v>
      </c>
      <c r="D5" s="20">
        <f t="shared" ref="D5:D30" si="3">B5+C5</f>
        <v>788309.99</v>
      </c>
      <c r="E5" s="15">
        <v>21259.47</v>
      </c>
      <c r="F5" s="15">
        <v>26731.74</v>
      </c>
      <c r="G5" s="20">
        <f t="shared" ref="G5:G30" si="4">E5+F5</f>
        <v>47991.210000000006</v>
      </c>
      <c r="H5" s="15">
        <v>894687.55</v>
      </c>
      <c r="I5" s="15">
        <v>85904.58</v>
      </c>
      <c r="J5" s="20">
        <f t="shared" si="2"/>
        <v>1816893.33</v>
      </c>
      <c r="K5" s="42">
        <v>0</v>
      </c>
      <c r="L5" s="15">
        <v>33789.870000000003</v>
      </c>
      <c r="M5" s="15"/>
      <c r="N5" s="15"/>
      <c r="P5" s="15">
        <v>141905.78</v>
      </c>
      <c r="Q5" s="15">
        <v>18353.019999999997</v>
      </c>
      <c r="S5" s="15">
        <v>7129.63</v>
      </c>
      <c r="T5" s="15"/>
      <c r="U5" s="192">
        <v>2408</v>
      </c>
      <c r="V5" s="192">
        <v>2298</v>
      </c>
      <c r="W5" s="189">
        <v>0.33592793406868943</v>
      </c>
      <c r="X5" s="192">
        <v>206</v>
      </c>
      <c r="Y5" s="189">
        <v>0.61165048543689327</v>
      </c>
      <c r="Z5" s="194">
        <v>9336</v>
      </c>
      <c r="AA5" s="15"/>
      <c r="AB5" s="15"/>
      <c r="AC5" s="15"/>
      <c r="AD5" s="15">
        <v>1491564.8399999999</v>
      </c>
      <c r="AE5" s="13"/>
      <c r="AF5" s="84">
        <v>3127511</v>
      </c>
      <c r="AH5" s="24" t="s">
        <v>9</v>
      </c>
      <c r="AI5" s="33">
        <f>AI6+AI9</f>
        <v>2776217.84</v>
      </c>
      <c r="AK5" s="24" t="s">
        <v>320</v>
      </c>
      <c r="AL5" s="28">
        <f>VLOOKUP($AI$2,'Diretrizes - Resumo'!$A$4:$AF$30,12,)</f>
        <v>101574.18</v>
      </c>
      <c r="AM5" t="b">
        <f>AL5='[1]Anexo VI.I-Aporte do FA'!$C$7</f>
        <v>1</v>
      </c>
      <c r="AP5" s="18"/>
    </row>
    <row r="6" spans="1:42" ht="16.5" thickBot="1" x14ac:dyDescent="0.3">
      <c r="A6" s="139" t="s">
        <v>321</v>
      </c>
      <c r="B6" s="15">
        <v>646854.02</v>
      </c>
      <c r="C6" s="15">
        <v>202498.47</v>
      </c>
      <c r="D6" s="20">
        <f t="shared" si="3"/>
        <v>849352.49</v>
      </c>
      <c r="E6" s="15">
        <v>28185.71</v>
      </c>
      <c r="F6" s="15">
        <v>30503.82</v>
      </c>
      <c r="G6" s="20">
        <f t="shared" si="4"/>
        <v>58689.53</v>
      </c>
      <c r="H6" s="15">
        <v>797130.58</v>
      </c>
      <c r="I6" s="15">
        <v>79288.639999999999</v>
      </c>
      <c r="J6" s="20">
        <f t="shared" si="2"/>
        <v>1784461.24</v>
      </c>
      <c r="K6" s="42">
        <v>0</v>
      </c>
      <c r="L6" s="15">
        <v>33180.800000000003</v>
      </c>
      <c r="M6" s="15"/>
      <c r="N6" s="15"/>
      <c r="P6" s="15">
        <v>140617.48000000001</v>
      </c>
      <c r="Q6" s="15">
        <v>17995.64</v>
      </c>
      <c r="S6" s="15">
        <v>6706.87</v>
      </c>
      <c r="T6" s="15"/>
      <c r="U6" s="192">
        <v>2650</v>
      </c>
      <c r="V6" s="192">
        <v>2619</v>
      </c>
      <c r="W6" s="189">
        <v>0.42485271750185855</v>
      </c>
      <c r="X6" s="192">
        <v>361</v>
      </c>
      <c r="Y6" s="189">
        <v>0.70360110803324105</v>
      </c>
      <c r="Z6" s="194">
        <v>8318</v>
      </c>
      <c r="AA6" s="15"/>
      <c r="AB6" s="15"/>
      <c r="AC6" s="15"/>
      <c r="AD6" s="15">
        <v>1682727.07</v>
      </c>
      <c r="AE6" s="13"/>
      <c r="AF6" s="84">
        <v>3941175</v>
      </c>
      <c r="AH6" s="24" t="s">
        <v>10</v>
      </c>
      <c r="AI6" s="32">
        <f>SUM(AI7:AI8)</f>
        <v>2540486.56</v>
      </c>
      <c r="AJ6" t="b">
        <f>'[1]Anexo V-Resumo Valor 80% + BR'!$G$13=AI6</f>
        <v>1</v>
      </c>
      <c r="AK6" s="24" t="s">
        <v>318</v>
      </c>
      <c r="AL6" s="28">
        <f>VLOOKUP($AI$2,'Diretrizes - Resumo'!$A$4:$AF$30,13,)</f>
        <v>0</v>
      </c>
      <c r="AP6" s="18"/>
    </row>
    <row r="7" spans="1:42" ht="16.5" thickBot="1" x14ac:dyDescent="0.3">
      <c r="A7" s="139" t="s">
        <v>319</v>
      </c>
      <c r="B7" s="15">
        <v>218824.12</v>
      </c>
      <c r="C7" s="15">
        <v>92121.73</v>
      </c>
      <c r="D7" s="20">
        <f t="shared" si="3"/>
        <v>310945.84999999998</v>
      </c>
      <c r="E7" s="15">
        <v>31785.78</v>
      </c>
      <c r="F7" s="15">
        <v>38672.339999999997</v>
      </c>
      <c r="G7" s="20">
        <f t="shared" si="4"/>
        <v>70458.12</v>
      </c>
      <c r="H7" s="15">
        <v>404411.04</v>
      </c>
      <c r="I7" s="15">
        <v>52283.58</v>
      </c>
      <c r="J7" s="20">
        <f t="shared" si="2"/>
        <v>838098.59</v>
      </c>
      <c r="K7" s="42">
        <v>0</v>
      </c>
      <c r="L7" s="15">
        <v>15585.33</v>
      </c>
      <c r="M7" s="15">
        <v>14840</v>
      </c>
      <c r="N7" s="15">
        <v>741550.4381599999</v>
      </c>
      <c r="P7" s="15">
        <v>62629.760000000002</v>
      </c>
      <c r="Q7" s="15">
        <v>7990.6500000000005</v>
      </c>
      <c r="S7" s="15">
        <v>3304.86</v>
      </c>
      <c r="T7" s="15"/>
      <c r="U7" s="192">
        <v>948</v>
      </c>
      <c r="V7" s="192">
        <v>940</v>
      </c>
      <c r="W7" s="189">
        <v>0.4380002813331369</v>
      </c>
      <c r="X7" s="192">
        <v>398</v>
      </c>
      <c r="Y7" s="189">
        <v>0.70351758793969854</v>
      </c>
      <c r="Z7" s="194">
        <v>4220</v>
      </c>
      <c r="AA7" s="15"/>
      <c r="AB7" s="15"/>
      <c r="AC7" s="15"/>
      <c r="AD7" s="15">
        <v>890032.54</v>
      </c>
      <c r="AE7" s="13"/>
      <c r="AF7" s="84">
        <v>733508</v>
      </c>
      <c r="AH7" s="30" t="s">
        <v>370</v>
      </c>
      <c r="AI7" s="28">
        <f>VLOOKUP($AI$2,'Diretrizes - Resumo'!$A$4:$AF$30,2,)</f>
        <v>2072430.36</v>
      </c>
      <c r="AK7" s="47" t="s">
        <v>316</v>
      </c>
      <c r="AL7" s="46">
        <f>VLOOKUP($AI$2,$A$4:$AD$30,29,)</f>
        <v>0</v>
      </c>
      <c r="AP7" s="18"/>
    </row>
    <row r="8" spans="1:42" ht="16.5" thickBot="1" x14ac:dyDescent="0.3">
      <c r="A8" s="139" t="s">
        <v>317</v>
      </c>
      <c r="B8" s="15">
        <v>2072430.36</v>
      </c>
      <c r="C8" s="15">
        <v>468056.2</v>
      </c>
      <c r="D8" s="20">
        <f t="shared" si="3"/>
        <v>2540486.56</v>
      </c>
      <c r="E8" s="15">
        <v>123973.51</v>
      </c>
      <c r="F8" s="15">
        <v>111757.77</v>
      </c>
      <c r="G8" s="20">
        <f t="shared" si="4"/>
        <v>235731.28</v>
      </c>
      <c r="H8" s="15">
        <v>2434995.29</v>
      </c>
      <c r="I8" s="15">
        <v>249922.3</v>
      </c>
      <c r="J8" s="20">
        <f t="shared" si="2"/>
        <v>5461135.4299999997</v>
      </c>
      <c r="K8" s="42">
        <v>0</v>
      </c>
      <c r="L8" s="15">
        <v>101574.18</v>
      </c>
      <c r="M8" s="15"/>
      <c r="N8" s="15"/>
      <c r="P8" s="15">
        <v>433447.85</v>
      </c>
      <c r="Q8" s="15">
        <v>56512.35</v>
      </c>
      <c r="S8" s="15">
        <v>16155.58</v>
      </c>
      <c r="T8" s="15"/>
      <c r="U8" s="192">
        <v>8319</v>
      </c>
      <c r="V8" s="192">
        <v>7412</v>
      </c>
      <c r="W8" s="189">
        <v>0.31745889300209945</v>
      </c>
      <c r="X8" s="192">
        <v>1181</v>
      </c>
      <c r="Y8" s="189">
        <v>0.60795935647756139</v>
      </c>
      <c r="Z8" s="194">
        <v>25409</v>
      </c>
      <c r="AA8" s="15"/>
      <c r="AB8" s="15"/>
      <c r="AC8" s="15"/>
      <c r="AD8" s="15">
        <v>10977447.08</v>
      </c>
      <c r="AE8" s="13"/>
      <c r="AF8" s="84">
        <v>14136417</v>
      </c>
      <c r="AH8" s="30" t="s">
        <v>74</v>
      </c>
      <c r="AI8" s="28">
        <f>VLOOKUP($AI$2,'Diretrizes - Resumo'!$A$4:$AF$30,3,)</f>
        <v>468056.2</v>
      </c>
      <c r="AK8" s="24" t="s">
        <v>400</v>
      </c>
      <c r="AL8" s="28">
        <f>VLOOKUP($AI$2,'Diretrizes - Resumo'!$A$4:$AF$30,30,)</f>
        <v>10977447.08</v>
      </c>
      <c r="AP8" s="18"/>
    </row>
    <row r="9" spans="1:42" ht="16.5" thickBot="1" x14ac:dyDescent="0.3">
      <c r="A9" s="139" t="s">
        <v>315</v>
      </c>
      <c r="B9" s="15">
        <v>1430008.66</v>
      </c>
      <c r="C9" s="15">
        <v>246481.82</v>
      </c>
      <c r="D9" s="20">
        <f t="shared" si="3"/>
        <v>1676490.48</v>
      </c>
      <c r="E9" s="15">
        <v>71766.78</v>
      </c>
      <c r="F9" s="15">
        <v>36770.480000000003</v>
      </c>
      <c r="G9" s="20">
        <f t="shared" si="4"/>
        <v>108537.26000000001</v>
      </c>
      <c r="H9" s="15">
        <v>1674951.7</v>
      </c>
      <c r="I9" s="15">
        <v>237442.61</v>
      </c>
      <c r="J9" s="20">
        <f t="shared" si="2"/>
        <v>3697422.05</v>
      </c>
      <c r="K9" s="42">
        <v>0</v>
      </c>
      <c r="L9" s="15">
        <v>68762.679999999993</v>
      </c>
      <c r="M9" s="15"/>
      <c r="N9" s="15"/>
      <c r="P9" s="15">
        <v>293869.21000000002</v>
      </c>
      <c r="Q9" s="15">
        <v>38343.39</v>
      </c>
      <c r="S9" s="15">
        <v>10576.38</v>
      </c>
      <c r="T9" s="15"/>
      <c r="U9" s="192">
        <v>5594</v>
      </c>
      <c r="V9" s="192">
        <v>5364</v>
      </c>
      <c r="W9" s="189">
        <v>0.35031602398493639</v>
      </c>
      <c r="X9" s="192">
        <v>580</v>
      </c>
      <c r="Y9" s="189">
        <v>0.5379310344827587</v>
      </c>
      <c r="Z9" s="194">
        <v>17478</v>
      </c>
      <c r="AA9" s="15"/>
      <c r="AB9" s="15"/>
      <c r="AC9" s="15"/>
      <c r="AD9" s="15">
        <v>3259254.46</v>
      </c>
      <c r="AE9" s="13"/>
      <c r="AF9" s="84">
        <v>8791688</v>
      </c>
      <c r="AH9" s="24" t="s">
        <v>11</v>
      </c>
      <c r="AI9" s="31">
        <f>SUM(AI10:AI11)</f>
        <v>235731.28</v>
      </c>
      <c r="AJ9" t="b">
        <f>AI9='[1]Anexo V-Resumo Valor 80% + BR'!$M$13</f>
        <v>1</v>
      </c>
      <c r="AP9" s="18"/>
    </row>
    <row r="10" spans="1:42" ht="16.5" thickBot="1" x14ac:dyDescent="0.3">
      <c r="A10" s="139" t="s">
        <v>314</v>
      </c>
      <c r="B10" s="15">
        <v>2079832.22</v>
      </c>
      <c r="C10" s="15">
        <v>444034.19</v>
      </c>
      <c r="D10" s="20">
        <f t="shared" si="3"/>
        <v>2523866.41</v>
      </c>
      <c r="E10" s="15">
        <v>115482.02</v>
      </c>
      <c r="F10" s="15">
        <v>58293.42</v>
      </c>
      <c r="G10" s="20">
        <f t="shared" si="4"/>
        <v>173775.44</v>
      </c>
      <c r="H10" s="15">
        <v>1730150.93</v>
      </c>
      <c r="I10" s="15">
        <v>353311.08</v>
      </c>
      <c r="J10" s="20">
        <f t="shared" si="2"/>
        <v>4781103.8600000003</v>
      </c>
      <c r="K10" s="42">
        <v>0</v>
      </c>
      <c r="L10" s="15">
        <v>87809.62</v>
      </c>
      <c r="M10" s="15"/>
      <c r="N10" s="15"/>
      <c r="P10" s="15">
        <v>360071.78</v>
      </c>
      <c r="Q10" s="15">
        <v>50602.63</v>
      </c>
      <c r="S10" s="15">
        <v>17814.330000000002</v>
      </c>
      <c r="T10" s="15"/>
      <c r="U10" s="192">
        <v>7176</v>
      </c>
      <c r="V10" s="192">
        <v>6595</v>
      </c>
      <c r="W10" s="189">
        <v>0.27057735806394045</v>
      </c>
      <c r="X10" s="192">
        <v>934</v>
      </c>
      <c r="Y10" s="189">
        <v>0.53747323340471087</v>
      </c>
      <c r="Z10" s="194">
        <v>18054</v>
      </c>
      <c r="AA10" s="15"/>
      <c r="AB10" s="15"/>
      <c r="AC10" s="15"/>
      <c r="AD10" s="15">
        <v>1748489.97</v>
      </c>
      <c r="AE10" s="13"/>
      <c r="AF10" s="84">
        <v>2817068</v>
      </c>
      <c r="AH10" s="30" t="s">
        <v>371</v>
      </c>
      <c r="AI10" s="28">
        <f>VLOOKUP($AI$2,'Diretrizes - Resumo'!$A$4:$AF$30,5,)</f>
        <v>123973.51</v>
      </c>
      <c r="AP10" s="18"/>
    </row>
    <row r="11" spans="1:42" ht="16.5" thickBot="1" x14ac:dyDescent="0.3">
      <c r="A11" s="139" t="s">
        <v>313</v>
      </c>
      <c r="B11" s="15">
        <v>1757634.45</v>
      </c>
      <c r="C11" s="15">
        <v>99349.03</v>
      </c>
      <c r="D11" s="20">
        <f>B11+C11</f>
        <v>1856983.48</v>
      </c>
      <c r="E11" s="15">
        <v>103552.57</v>
      </c>
      <c r="F11" s="15">
        <v>14011.84</v>
      </c>
      <c r="G11" s="20">
        <f t="shared" si="4"/>
        <v>117564.41</v>
      </c>
      <c r="H11" s="15">
        <v>1737817.49</v>
      </c>
      <c r="I11" s="15">
        <v>171674.2</v>
      </c>
      <c r="J11" s="20">
        <f>I11+H11+G11+D11</f>
        <v>3884039.58</v>
      </c>
      <c r="K11" s="42">
        <v>0</v>
      </c>
      <c r="L11" s="15">
        <v>72248.27</v>
      </c>
      <c r="M11" s="15"/>
      <c r="N11" s="15"/>
      <c r="P11" s="15">
        <v>287590.02</v>
      </c>
      <c r="Q11" s="15">
        <v>37336.67</v>
      </c>
      <c r="S11" s="15">
        <v>14316.99</v>
      </c>
      <c r="T11" s="15"/>
      <c r="U11" s="192">
        <v>4558</v>
      </c>
      <c r="V11" s="192">
        <v>4439</v>
      </c>
      <c r="W11" s="189">
        <v>0.1004313870117139</v>
      </c>
      <c r="X11" s="192">
        <v>521</v>
      </c>
      <c r="Y11" s="189">
        <v>0.25911708253358923</v>
      </c>
      <c r="Z11" s="194">
        <v>18134</v>
      </c>
      <c r="AA11" s="15"/>
      <c r="AB11" s="15"/>
      <c r="AC11" s="15"/>
      <c r="AD11" s="15">
        <v>568690.15</v>
      </c>
      <c r="AE11" s="13"/>
      <c r="AF11" s="84">
        <v>3833486</v>
      </c>
      <c r="AH11" s="30" t="s">
        <v>75</v>
      </c>
      <c r="AI11" s="28">
        <f>VLOOKUP($AI$2,'Diretrizes - Resumo'!$A$4:$AF$30,6,)</f>
        <v>111757.77</v>
      </c>
      <c r="AP11" s="18"/>
    </row>
    <row r="12" spans="1:42" ht="16.5" thickBot="1" x14ac:dyDescent="0.3">
      <c r="A12" s="139" t="s">
        <v>311</v>
      </c>
      <c r="B12" s="15">
        <v>1560962.97</v>
      </c>
      <c r="C12" s="15">
        <v>445852.92</v>
      </c>
      <c r="D12" s="20">
        <f t="shared" si="3"/>
        <v>2006815.89</v>
      </c>
      <c r="E12" s="15">
        <v>85557.759999999995</v>
      </c>
      <c r="F12" s="15">
        <v>70472.509999999995</v>
      </c>
      <c r="G12" s="20">
        <f t="shared" si="4"/>
        <v>156030.26999999999</v>
      </c>
      <c r="H12" s="15">
        <v>3025032.91</v>
      </c>
      <c r="I12" s="15">
        <v>181179.87</v>
      </c>
      <c r="J12" s="20">
        <f t="shared" si="2"/>
        <v>5369058.9400000004</v>
      </c>
      <c r="K12" s="42">
        <v>0</v>
      </c>
      <c r="L12" s="15">
        <v>99829.16</v>
      </c>
      <c r="M12" s="15"/>
      <c r="N12" s="15"/>
      <c r="P12" s="15">
        <v>415372.70999999996</v>
      </c>
      <c r="Q12" s="15">
        <v>54245.299999999996</v>
      </c>
      <c r="S12" s="15">
        <v>24208.639999999999</v>
      </c>
      <c r="T12" s="15"/>
      <c r="U12" s="192">
        <v>5911</v>
      </c>
      <c r="V12" s="192">
        <v>5630</v>
      </c>
      <c r="W12" s="189">
        <v>0.34194806626907137</v>
      </c>
      <c r="X12" s="192">
        <v>866</v>
      </c>
      <c r="Y12" s="189">
        <v>0.63394919168591224</v>
      </c>
      <c r="Z12" s="194">
        <v>31566</v>
      </c>
      <c r="AA12" s="15"/>
      <c r="AB12" s="15"/>
      <c r="AC12" s="15"/>
      <c r="AD12" s="15">
        <v>4409011.09</v>
      </c>
      <c r="AE12" s="13"/>
      <c r="AF12" s="84">
        <v>7055228</v>
      </c>
      <c r="AH12" s="26" t="s">
        <v>65</v>
      </c>
      <c r="AI12" s="28">
        <f>VLOOKUP($AI$2,'Diretrizes - Resumo'!$A$4:$AF$30,8,)</f>
        <v>2434995.29</v>
      </c>
      <c r="AJ12" t="b">
        <f>AI12='[1]Anexo V-Resumo Valor 80% + BR'!$O$13</f>
        <v>1</v>
      </c>
      <c r="AP12" s="18"/>
    </row>
    <row r="13" spans="1:42" ht="16.5" thickBot="1" x14ac:dyDescent="0.3">
      <c r="A13" s="139" t="s">
        <v>310</v>
      </c>
      <c r="B13" s="15">
        <v>610054.04</v>
      </c>
      <c r="C13" s="15">
        <v>200329.78</v>
      </c>
      <c r="D13" s="20">
        <f t="shared" si="3"/>
        <v>810383.82000000007</v>
      </c>
      <c r="E13" s="15">
        <v>30365.88</v>
      </c>
      <c r="F13" s="15">
        <v>52136.43</v>
      </c>
      <c r="G13" s="20">
        <f t="shared" si="4"/>
        <v>82502.31</v>
      </c>
      <c r="H13" s="15">
        <v>754293.67</v>
      </c>
      <c r="I13" s="15">
        <v>71434.89</v>
      </c>
      <c r="J13" s="20">
        <f t="shared" si="2"/>
        <v>1718614.6900000002</v>
      </c>
      <c r="K13" s="42">
        <v>0</v>
      </c>
      <c r="L13" s="15">
        <v>31952.45</v>
      </c>
      <c r="M13" s="15">
        <v>19938.080000000002</v>
      </c>
      <c r="N13" s="15">
        <v>172557.53999999998</v>
      </c>
      <c r="P13" s="15">
        <v>135286.72999999998</v>
      </c>
      <c r="Q13" s="15">
        <v>17332.73</v>
      </c>
      <c r="S13" s="15">
        <v>4830.3</v>
      </c>
      <c r="T13" s="15"/>
      <c r="U13" s="192">
        <v>2577</v>
      </c>
      <c r="V13" s="192">
        <v>2535</v>
      </c>
      <c r="W13" s="189">
        <v>0.43844302180583333</v>
      </c>
      <c r="X13" s="192">
        <v>376</v>
      </c>
      <c r="Y13" s="189">
        <v>0.69946808510638303</v>
      </c>
      <c r="Z13" s="194">
        <v>7871</v>
      </c>
      <c r="AA13" s="15"/>
      <c r="AB13" s="15"/>
      <c r="AC13" s="15"/>
      <c r="AD13" s="15">
        <v>209765.15000000002</v>
      </c>
      <c r="AE13" s="13"/>
      <c r="AF13" s="84">
        <v>6775152</v>
      </c>
      <c r="AH13" s="26" t="s">
        <v>309</v>
      </c>
      <c r="AI13" s="28">
        <f>VLOOKUP($AI$2,'Diretrizes - Resumo'!$A$4:$AF$30,9,)</f>
        <v>249922.3</v>
      </c>
      <c r="AJ13" t="b">
        <f>AI13='[1]Anexo V-Resumo Valor 80% + BR'!$Q$13</f>
        <v>1</v>
      </c>
      <c r="AP13" s="18"/>
    </row>
    <row r="14" spans="1:42" ht="16.5" thickBot="1" x14ac:dyDescent="0.3">
      <c r="A14" s="139" t="s">
        <v>307</v>
      </c>
      <c r="B14" s="15">
        <v>5661587.5</v>
      </c>
      <c r="C14" s="15">
        <v>899167.18</v>
      </c>
      <c r="D14" s="20">
        <f t="shared" si="3"/>
        <v>6560754.6799999997</v>
      </c>
      <c r="E14" s="15">
        <v>343751.59</v>
      </c>
      <c r="F14" s="15">
        <v>101656.41</v>
      </c>
      <c r="G14" s="20">
        <f t="shared" si="4"/>
        <v>445408</v>
      </c>
      <c r="H14" s="15">
        <v>6123281.4699999997</v>
      </c>
      <c r="I14" s="15">
        <v>681155.16</v>
      </c>
      <c r="J14" s="20">
        <f t="shared" si="2"/>
        <v>13810599.309999999</v>
      </c>
      <c r="K14" s="42">
        <v>0</v>
      </c>
      <c r="L14" s="15">
        <v>256850.45</v>
      </c>
      <c r="M14" s="15"/>
      <c r="N14" s="15"/>
      <c r="P14" s="15">
        <v>1071282.72</v>
      </c>
      <c r="Q14" s="15">
        <v>139896.03</v>
      </c>
      <c r="S14" s="15">
        <v>57084</v>
      </c>
      <c r="T14" s="15"/>
      <c r="U14" s="192">
        <v>19513</v>
      </c>
      <c r="V14" s="192">
        <v>18636</v>
      </c>
      <c r="W14" s="189">
        <v>0.28882733834207402</v>
      </c>
      <c r="X14" s="192">
        <v>2346</v>
      </c>
      <c r="Y14" s="189">
        <v>0.45353793691389599</v>
      </c>
      <c r="Z14" s="194">
        <v>63896</v>
      </c>
      <c r="AA14" s="15"/>
      <c r="AB14" s="15"/>
      <c r="AC14" s="15"/>
      <c r="AD14" s="15">
        <v>16972819.699999999</v>
      </c>
      <c r="AE14" s="13"/>
      <c r="AF14" s="84">
        <v>20538718</v>
      </c>
      <c r="AH14" s="26" t="s">
        <v>12</v>
      </c>
      <c r="AI14" s="27"/>
      <c r="AP14" s="18"/>
    </row>
    <row r="15" spans="1:42" ht="16.5" thickBot="1" x14ac:dyDescent="0.3">
      <c r="A15" s="139" t="s">
        <v>305</v>
      </c>
      <c r="B15" s="15">
        <v>946864.34</v>
      </c>
      <c r="C15" s="15">
        <v>360969.36</v>
      </c>
      <c r="D15" s="20">
        <f t="shared" si="3"/>
        <v>1307833.7</v>
      </c>
      <c r="E15" s="15">
        <v>76674.960000000006</v>
      </c>
      <c r="F15" s="15">
        <v>75171.22</v>
      </c>
      <c r="G15" s="20">
        <f t="shared" si="4"/>
        <v>151846.18</v>
      </c>
      <c r="H15" s="15">
        <v>2041604.93</v>
      </c>
      <c r="I15" s="15">
        <v>221046.48</v>
      </c>
      <c r="J15" s="20">
        <f t="shared" si="2"/>
        <v>3722331.29</v>
      </c>
      <c r="K15" s="42">
        <v>0</v>
      </c>
      <c r="L15" s="15">
        <v>69212.240000000005</v>
      </c>
      <c r="M15" s="15"/>
      <c r="N15" s="15"/>
      <c r="P15" s="15">
        <v>283776.18000000005</v>
      </c>
      <c r="Q15" s="15">
        <v>36778.699999999997</v>
      </c>
      <c r="S15" s="15">
        <v>16968.599999999999</v>
      </c>
      <c r="T15" s="15"/>
      <c r="U15" s="192">
        <v>3964</v>
      </c>
      <c r="V15" s="192">
        <v>3839</v>
      </c>
      <c r="W15" s="189">
        <v>0.41163534320702339</v>
      </c>
      <c r="X15" s="192">
        <v>778</v>
      </c>
      <c r="Y15" s="189">
        <v>0.63367609254498714</v>
      </c>
      <c r="Z15" s="194">
        <v>21304</v>
      </c>
      <c r="AA15" s="15"/>
      <c r="AB15" s="15"/>
      <c r="AC15" s="15"/>
      <c r="AD15" s="15">
        <v>1846216.87</v>
      </c>
      <c r="AE15" s="13"/>
      <c r="AF15" s="84">
        <v>2756700</v>
      </c>
      <c r="AH15" s="26" t="s">
        <v>138</v>
      </c>
      <c r="AI15" s="25">
        <f>VLOOKUP($AI$2,'Diretrizes - Resumo'!$A$4:$AF$30,19,)</f>
        <v>16155.58</v>
      </c>
      <c r="AJ15" t="b">
        <f>AI15='[1] Anexo VIII-TARIFAS BANCÁRIAS'!$D$7</f>
        <v>1</v>
      </c>
      <c r="AP15" s="18"/>
    </row>
    <row r="16" spans="1:42" ht="16.5" thickBot="1" x14ac:dyDescent="0.3">
      <c r="A16" s="139" t="s">
        <v>303</v>
      </c>
      <c r="B16" s="15">
        <v>1163515.67</v>
      </c>
      <c r="C16" s="15">
        <v>240164.97</v>
      </c>
      <c r="D16" s="20">
        <f t="shared" si="3"/>
        <v>1403680.64</v>
      </c>
      <c r="E16" s="15">
        <v>107655.76</v>
      </c>
      <c r="F16" s="15">
        <v>53270.61</v>
      </c>
      <c r="G16" s="20">
        <f t="shared" si="4"/>
        <v>160926.37</v>
      </c>
      <c r="H16" s="15">
        <v>3245542.34</v>
      </c>
      <c r="I16" s="15">
        <v>133969.56</v>
      </c>
      <c r="J16" s="20">
        <f t="shared" si="2"/>
        <v>4944118.91</v>
      </c>
      <c r="K16" s="42">
        <v>0</v>
      </c>
      <c r="L16" s="15">
        <v>91965.92</v>
      </c>
      <c r="M16" s="15"/>
      <c r="N16" s="15"/>
      <c r="P16" s="15">
        <v>377421.4</v>
      </c>
      <c r="Q16" s="15">
        <v>49228.03</v>
      </c>
      <c r="S16" s="15">
        <v>22244.86</v>
      </c>
      <c r="T16" s="15"/>
      <c r="U16" s="192">
        <v>3962</v>
      </c>
      <c r="V16" s="192">
        <v>3867</v>
      </c>
      <c r="W16" s="189">
        <v>0.31064267194701883</v>
      </c>
      <c r="X16" s="192">
        <v>846</v>
      </c>
      <c r="Y16" s="189">
        <v>0.5271867612293144</v>
      </c>
      <c r="Z16" s="194">
        <v>33867</v>
      </c>
      <c r="AA16" s="15"/>
      <c r="AB16" s="15"/>
      <c r="AC16" s="15"/>
      <c r="AD16" s="15">
        <v>2007665.18</v>
      </c>
      <c r="AE16" s="13"/>
      <c r="AF16" s="84">
        <v>3658813</v>
      </c>
      <c r="AH16" s="26" t="s">
        <v>13</v>
      </c>
      <c r="AI16" s="25">
        <f>VLOOKUP($AI$2,'Diretrizes - Resumo'!$A$4:$AF$30,14,)</f>
        <v>0</v>
      </c>
      <c r="AP16" s="18"/>
    </row>
    <row r="17" spans="1:42" ht="16.5" thickBot="1" x14ac:dyDescent="0.3">
      <c r="A17" s="139" t="s">
        <v>301</v>
      </c>
      <c r="B17" s="15">
        <v>761665.88</v>
      </c>
      <c r="C17" s="15">
        <v>376088.88</v>
      </c>
      <c r="D17" s="20">
        <f t="shared" si="3"/>
        <v>1137754.76</v>
      </c>
      <c r="E17" s="15">
        <v>52430.34</v>
      </c>
      <c r="F17" s="15">
        <v>47482.94</v>
      </c>
      <c r="G17" s="20">
        <f t="shared" si="4"/>
        <v>99913.279999999999</v>
      </c>
      <c r="H17" s="15">
        <v>1125259.3400000001</v>
      </c>
      <c r="I17" s="15">
        <v>117018.26</v>
      </c>
      <c r="J17" s="20">
        <f t="shared" si="2"/>
        <v>2479945.64</v>
      </c>
      <c r="K17" s="42">
        <v>0</v>
      </c>
      <c r="L17" s="15">
        <v>46120.52</v>
      </c>
      <c r="M17" s="15"/>
      <c r="N17" s="15"/>
      <c r="P17" s="15">
        <v>195248.63</v>
      </c>
      <c r="Q17" s="15">
        <v>25036.13</v>
      </c>
      <c r="S17" s="15">
        <v>9412.7000000000007</v>
      </c>
      <c r="T17" s="15"/>
      <c r="U17" s="192">
        <v>3627</v>
      </c>
      <c r="V17" s="192">
        <v>3435</v>
      </c>
      <c r="W17" s="189">
        <v>0.44412323373175056</v>
      </c>
      <c r="X17" s="192">
        <v>570</v>
      </c>
      <c r="Y17" s="189">
        <v>0.65614035087719291</v>
      </c>
      <c r="Z17" s="194">
        <v>11742</v>
      </c>
      <c r="AA17" s="15"/>
      <c r="AB17" s="15"/>
      <c r="AC17" s="15"/>
      <c r="AD17" s="15">
        <v>2111231.5100000002</v>
      </c>
      <c r="AE17" s="13"/>
      <c r="AF17" s="84">
        <v>8116132</v>
      </c>
      <c r="AH17" s="8"/>
      <c r="AI17" s="22"/>
      <c r="AP17" s="18"/>
    </row>
    <row r="18" spans="1:42" ht="16.5" thickBot="1" x14ac:dyDescent="0.3">
      <c r="A18" s="139" t="s">
        <v>300</v>
      </c>
      <c r="B18" s="15">
        <v>983653.5</v>
      </c>
      <c r="C18" s="15">
        <v>234329.25</v>
      </c>
      <c r="D18" s="20">
        <f t="shared" si="3"/>
        <v>1217982.75</v>
      </c>
      <c r="E18" s="15">
        <v>36453.589999999997</v>
      </c>
      <c r="F18" s="15">
        <v>45067.28</v>
      </c>
      <c r="G18" s="20">
        <f t="shared" si="4"/>
        <v>81520.87</v>
      </c>
      <c r="H18" s="15">
        <v>1192725.07</v>
      </c>
      <c r="I18" s="15">
        <v>164301.82999999999</v>
      </c>
      <c r="J18" s="20">
        <f t="shared" si="2"/>
        <v>2656530.52</v>
      </c>
      <c r="K18" s="42">
        <v>0</v>
      </c>
      <c r="L18" s="15">
        <v>49390.17</v>
      </c>
      <c r="M18" s="15"/>
      <c r="N18" s="15"/>
      <c r="P18" s="15">
        <v>205288.1</v>
      </c>
      <c r="Q18" s="15">
        <v>26903.86</v>
      </c>
      <c r="S18" s="15">
        <v>10271.459999999999</v>
      </c>
      <c r="T18" s="15"/>
      <c r="U18" s="192">
        <v>3668</v>
      </c>
      <c r="V18" s="192">
        <v>3574</v>
      </c>
      <c r="W18" s="189">
        <v>0.33317116942326447</v>
      </c>
      <c r="X18" s="192">
        <v>528</v>
      </c>
      <c r="Y18" s="189">
        <v>0.74053030303030309</v>
      </c>
      <c r="Z18" s="194">
        <v>12446</v>
      </c>
      <c r="AA18" s="15"/>
      <c r="AB18" s="15"/>
      <c r="AC18" s="15"/>
      <c r="AD18" s="15">
        <v>2516148.48</v>
      </c>
      <c r="AE18" s="13"/>
      <c r="AF18" s="84">
        <v>3974495</v>
      </c>
      <c r="AH18" s="267" t="s">
        <v>312</v>
      </c>
      <c r="AI18" s="267"/>
      <c r="AP18" s="18"/>
    </row>
    <row r="19" spans="1:42" ht="16.5" thickBot="1" x14ac:dyDescent="0.3">
      <c r="A19" s="139" t="s">
        <v>276</v>
      </c>
      <c r="B19" s="15">
        <v>1685031.26</v>
      </c>
      <c r="C19" s="15">
        <v>314777.33</v>
      </c>
      <c r="D19" s="20">
        <f t="shared" si="3"/>
        <v>1999808.59</v>
      </c>
      <c r="E19" s="15">
        <v>93887.14</v>
      </c>
      <c r="F19" s="15">
        <v>37276.239999999998</v>
      </c>
      <c r="G19" s="20">
        <f t="shared" si="4"/>
        <v>131163.38</v>
      </c>
      <c r="H19" s="15">
        <v>2018605.25</v>
      </c>
      <c r="I19" s="15">
        <v>234594.13</v>
      </c>
      <c r="J19" s="20">
        <f t="shared" si="2"/>
        <v>4384171.3499999996</v>
      </c>
      <c r="K19" s="42">
        <v>0</v>
      </c>
      <c r="L19" s="15">
        <v>80573.19</v>
      </c>
      <c r="M19" s="15"/>
      <c r="N19" s="15"/>
      <c r="P19" s="15">
        <v>342336.21</v>
      </c>
      <c r="Q19" s="15">
        <v>44775.19</v>
      </c>
      <c r="S19" s="15">
        <v>16356.44</v>
      </c>
      <c r="T19" s="15"/>
      <c r="U19" s="192">
        <v>6285</v>
      </c>
      <c r="V19" s="192">
        <v>5759</v>
      </c>
      <c r="W19" s="189">
        <v>0.30040905112338773</v>
      </c>
      <c r="X19" s="192">
        <v>677</v>
      </c>
      <c r="Y19" s="189">
        <v>0.48005908419497784</v>
      </c>
      <c r="Z19" s="194">
        <v>21064</v>
      </c>
      <c r="AA19" s="15"/>
      <c r="AB19" s="15"/>
      <c r="AC19" s="15"/>
      <c r="AD19" s="15">
        <v>1782606.69</v>
      </c>
      <c r="AE19" s="13"/>
      <c r="AF19" s="84">
        <v>9058155</v>
      </c>
      <c r="AH19" s="49" t="s">
        <v>361</v>
      </c>
      <c r="AI19" s="195">
        <f>VLOOKUP($AI$2,'Diretrizes - Resumo'!$A$4:$AF$30,21,)</f>
        <v>8319</v>
      </c>
      <c r="AJ19" t="b">
        <f>AI19='[1]Anexo III- Qde Prof_Empr_RRT'!$C$14</f>
        <v>1</v>
      </c>
      <c r="AP19" s="18"/>
    </row>
    <row r="20" spans="1:42" ht="16.5" thickBot="1" x14ac:dyDescent="0.3">
      <c r="A20" s="139" t="s">
        <v>299</v>
      </c>
      <c r="B20" s="15">
        <v>496015.14</v>
      </c>
      <c r="C20" s="15">
        <v>100624.74</v>
      </c>
      <c r="D20" s="20">
        <f t="shared" si="3"/>
        <v>596639.88</v>
      </c>
      <c r="E20" s="15">
        <v>46678.03</v>
      </c>
      <c r="F20" s="15">
        <v>40613.96</v>
      </c>
      <c r="G20" s="20">
        <f t="shared" si="4"/>
        <v>87291.989999999991</v>
      </c>
      <c r="H20" s="15">
        <v>589175.14</v>
      </c>
      <c r="I20" s="15">
        <v>46935.95</v>
      </c>
      <c r="J20" s="20">
        <f t="shared" si="2"/>
        <v>1320042.96</v>
      </c>
      <c r="K20" s="42">
        <v>0</v>
      </c>
      <c r="L20" s="15">
        <v>23970.74</v>
      </c>
      <c r="M20" s="15">
        <v>15896.68</v>
      </c>
      <c r="N20" s="15">
        <v>339426.79816000001</v>
      </c>
      <c r="P20" s="15">
        <v>100626.75</v>
      </c>
      <c r="Q20" s="15">
        <v>12847.06</v>
      </c>
      <c r="S20" s="15">
        <v>3932.12</v>
      </c>
      <c r="T20" s="15"/>
      <c r="U20" s="192">
        <v>1819</v>
      </c>
      <c r="V20" s="192">
        <v>1770</v>
      </c>
      <c r="W20" s="189">
        <v>0.32402017996737581</v>
      </c>
      <c r="X20" s="192">
        <v>378</v>
      </c>
      <c r="Y20" s="189">
        <v>0.544973544973545</v>
      </c>
      <c r="Z20" s="194">
        <v>6148</v>
      </c>
      <c r="AA20" s="15"/>
      <c r="AB20" s="15"/>
      <c r="AC20" s="15"/>
      <c r="AD20" s="15">
        <v>54950.860000000015</v>
      </c>
      <c r="AE20" s="13"/>
      <c r="AF20" s="84">
        <v>3269200</v>
      </c>
      <c r="AH20" s="49" t="s">
        <v>362</v>
      </c>
      <c r="AI20" s="195">
        <f>VLOOKUP($AI$2,'Diretrizes - Resumo'!$A$4:$AF$30,22,)</f>
        <v>7412</v>
      </c>
      <c r="AJ20" t="b">
        <f>AI20='[1]Anexo III- Qde Prof_Empr_RRT'!$F$14</f>
        <v>1</v>
      </c>
      <c r="AP20" s="18"/>
    </row>
    <row r="21" spans="1:42" ht="16.5" thickBot="1" x14ac:dyDescent="0.3">
      <c r="A21" s="139" t="s">
        <v>298</v>
      </c>
      <c r="B21" s="15">
        <v>4350419.7</v>
      </c>
      <c r="C21" s="15">
        <v>711293.33</v>
      </c>
      <c r="D21" s="20">
        <f t="shared" si="3"/>
        <v>5061713.03</v>
      </c>
      <c r="E21" s="15">
        <v>432948.57</v>
      </c>
      <c r="F21" s="15">
        <v>249096.34</v>
      </c>
      <c r="G21" s="20">
        <f t="shared" si="4"/>
        <v>682044.91</v>
      </c>
      <c r="H21" s="15">
        <v>7154912.9500000002</v>
      </c>
      <c r="I21" s="15">
        <v>530619.96</v>
      </c>
      <c r="J21" s="20">
        <f t="shared" si="2"/>
        <v>13429290.850000001</v>
      </c>
      <c r="K21" s="42">
        <v>0</v>
      </c>
      <c r="L21" s="15">
        <v>250374.96</v>
      </c>
      <c r="M21" s="15"/>
      <c r="N21" s="15"/>
      <c r="P21" s="15">
        <v>1044991.1799999999</v>
      </c>
      <c r="Q21" s="15">
        <v>137025.72</v>
      </c>
      <c r="S21" s="15">
        <v>66847.289999999994</v>
      </c>
      <c r="T21" s="15"/>
      <c r="U21" s="192">
        <v>16111</v>
      </c>
      <c r="V21" s="192">
        <v>15523</v>
      </c>
      <c r="W21" s="189">
        <v>0.33458878843786199</v>
      </c>
      <c r="X21" s="192">
        <v>3154</v>
      </c>
      <c r="Y21" s="189">
        <v>0.48826886493341787</v>
      </c>
      <c r="Z21" s="194">
        <v>74661</v>
      </c>
      <c r="AA21" s="15"/>
      <c r="AB21" s="15"/>
      <c r="AC21" s="15"/>
      <c r="AD21" s="15">
        <v>17082768.949999999</v>
      </c>
      <c r="AE21" s="13"/>
      <c r="AF21" s="84">
        <v>11443208</v>
      </c>
      <c r="AH21" s="48" t="s">
        <v>308</v>
      </c>
      <c r="AI21" s="196">
        <f>VLOOKUP($AI$2,'Diretrizes - Resumo'!$A$4:$AF$30,23,)</f>
        <v>0.31745889300209945</v>
      </c>
      <c r="AP21" s="18"/>
    </row>
    <row r="22" spans="1:42" ht="16.5" thickBot="1" x14ac:dyDescent="0.3">
      <c r="A22" s="139" t="s">
        <v>297</v>
      </c>
      <c r="B22" s="15">
        <v>5082798.55</v>
      </c>
      <c r="C22" s="15">
        <v>1367024.96</v>
      </c>
      <c r="D22" s="20">
        <f t="shared" si="3"/>
        <v>6449823.5099999998</v>
      </c>
      <c r="E22" s="15">
        <v>441741.93</v>
      </c>
      <c r="F22" s="15">
        <v>262558.08000000002</v>
      </c>
      <c r="G22" s="20">
        <f t="shared" si="4"/>
        <v>704300.01</v>
      </c>
      <c r="H22" s="15">
        <v>6638665.9699999997</v>
      </c>
      <c r="I22" s="15">
        <v>592611.56999999995</v>
      </c>
      <c r="J22" s="20">
        <f t="shared" si="2"/>
        <v>14385401.059999999</v>
      </c>
      <c r="K22" s="42">
        <v>0</v>
      </c>
      <c r="L22" s="15">
        <v>267554.26</v>
      </c>
      <c r="M22" s="15"/>
      <c r="N22" s="15"/>
      <c r="P22" s="15">
        <v>1162383.19</v>
      </c>
      <c r="Q22" s="15">
        <v>155869.18000000002</v>
      </c>
      <c r="S22" s="15">
        <v>46436.5</v>
      </c>
      <c r="T22" s="15"/>
      <c r="U22" s="192">
        <v>22693</v>
      </c>
      <c r="V22" s="192">
        <v>18484</v>
      </c>
      <c r="W22" s="189">
        <v>0.30817761969679386</v>
      </c>
      <c r="X22" s="192">
        <v>3208</v>
      </c>
      <c r="Y22" s="189">
        <v>0.486284289276808</v>
      </c>
      <c r="Z22" s="194">
        <v>69274</v>
      </c>
      <c r="AA22" s="15"/>
      <c r="AB22" s="15"/>
      <c r="AC22" s="15"/>
      <c r="AD22" s="15">
        <v>9115215.3300000001</v>
      </c>
      <c r="AE22" s="13"/>
      <c r="AF22" s="84">
        <v>16054524</v>
      </c>
      <c r="AH22" s="24" t="s">
        <v>306</v>
      </c>
      <c r="AI22" s="195">
        <f>VLOOKUP($AI$2,'Diretrizes - Resumo'!$A$4:$AF$30,24,)</f>
        <v>1181</v>
      </c>
      <c r="AJ22" t="b">
        <f>AI22='[1]Anexo III- Qde Prof_Empr_RRT'!$O$14</f>
        <v>1</v>
      </c>
      <c r="AP22" s="18"/>
    </row>
    <row r="23" spans="1:42" ht="16.5" thickBot="1" x14ac:dyDescent="0.3">
      <c r="A23" s="139" t="s">
        <v>296</v>
      </c>
      <c r="B23" s="15">
        <v>779302.01</v>
      </c>
      <c r="C23" s="15">
        <v>282331.06</v>
      </c>
      <c r="D23" s="20">
        <f t="shared" si="3"/>
        <v>1061633.07</v>
      </c>
      <c r="E23" s="15">
        <v>31170.86</v>
      </c>
      <c r="F23" s="15">
        <v>22522.18</v>
      </c>
      <c r="G23" s="20">
        <f t="shared" si="4"/>
        <v>53693.04</v>
      </c>
      <c r="H23" s="15">
        <v>1066897.6599999999</v>
      </c>
      <c r="I23" s="15">
        <v>119182.98</v>
      </c>
      <c r="J23" s="20">
        <f t="shared" si="2"/>
        <v>2301406.75</v>
      </c>
      <c r="K23" s="42">
        <v>0</v>
      </c>
      <c r="L23" s="15">
        <v>42735.12</v>
      </c>
      <c r="M23" s="15"/>
      <c r="N23" s="15"/>
      <c r="P23" s="15">
        <v>178045.84</v>
      </c>
      <c r="Q23" s="15">
        <v>23431.97</v>
      </c>
      <c r="S23" s="15">
        <v>8916.36</v>
      </c>
      <c r="T23" s="15"/>
      <c r="U23" s="192">
        <v>3114</v>
      </c>
      <c r="V23" s="192">
        <v>2998</v>
      </c>
      <c r="W23" s="189">
        <v>0.38129299127037064</v>
      </c>
      <c r="X23" s="192">
        <v>365</v>
      </c>
      <c r="Y23" s="189">
        <v>0.68219178082191778</v>
      </c>
      <c r="Z23" s="194">
        <v>11133</v>
      </c>
      <c r="AA23" s="15"/>
      <c r="AB23" s="15"/>
      <c r="AC23" s="15"/>
      <c r="AD23" s="15">
        <v>1271164.96</v>
      </c>
      <c r="AE23" s="13"/>
      <c r="AF23" s="84">
        <v>3302406</v>
      </c>
      <c r="AH23" s="24" t="s">
        <v>304</v>
      </c>
      <c r="AI23" s="196">
        <f>VLOOKUP($AI$2,'Diretrizes - Resumo'!$A$4:$AF$30,25,)</f>
        <v>0.60795935647756139</v>
      </c>
      <c r="AP23" s="18"/>
    </row>
    <row r="24" spans="1:42" ht="16.5" thickBot="1" x14ac:dyDescent="0.3">
      <c r="A24" s="139" t="s">
        <v>295</v>
      </c>
      <c r="B24" s="15">
        <v>451878.01</v>
      </c>
      <c r="C24" s="15">
        <v>80860.789999999994</v>
      </c>
      <c r="D24" s="20">
        <f t="shared" si="3"/>
        <v>532738.80000000005</v>
      </c>
      <c r="E24" s="15">
        <v>36095.82</v>
      </c>
      <c r="F24" s="15">
        <v>32045.8</v>
      </c>
      <c r="G24" s="20">
        <f t="shared" si="4"/>
        <v>68141.62</v>
      </c>
      <c r="H24" s="15">
        <v>837380.02</v>
      </c>
      <c r="I24" s="15">
        <v>61989.62</v>
      </c>
      <c r="J24" s="20">
        <f t="shared" si="2"/>
        <v>1500250.06</v>
      </c>
      <c r="K24" s="42">
        <v>0</v>
      </c>
      <c r="L24" s="15">
        <v>27901.53</v>
      </c>
      <c r="M24" s="15">
        <v>22526.799999999999</v>
      </c>
      <c r="N24" s="15">
        <v>182690.48816000018</v>
      </c>
      <c r="P24" s="15">
        <v>116521.01999999999</v>
      </c>
      <c r="Q24" s="15">
        <v>15065.060000000001</v>
      </c>
      <c r="S24" s="15">
        <v>6968.89</v>
      </c>
      <c r="T24" s="15"/>
      <c r="U24" s="192">
        <v>1700</v>
      </c>
      <c r="V24" s="192">
        <v>1673</v>
      </c>
      <c r="W24" s="189">
        <v>0.34870198687423609</v>
      </c>
      <c r="X24" s="192">
        <v>290</v>
      </c>
      <c r="Y24" s="189">
        <v>0.54137931034482767</v>
      </c>
      <c r="Z24" s="194">
        <v>8738</v>
      </c>
      <c r="AA24" s="15"/>
      <c r="AB24" s="15"/>
      <c r="AC24" s="15"/>
      <c r="AD24" s="15">
        <v>1687241.8900000001</v>
      </c>
      <c r="AE24" s="13"/>
      <c r="AF24" s="84">
        <v>1581016</v>
      </c>
      <c r="AH24" s="48" t="s">
        <v>302</v>
      </c>
      <c r="AI24" s="195">
        <f>VLOOKUP($AI$2,'Diretrizes - Resumo'!$A$4:$AF$30,26,)</f>
        <v>25409</v>
      </c>
      <c r="AJ24" t="b">
        <f>AI24='[1]Anexo III- Qde Prof_Empr_RRT'!$X$14</f>
        <v>1</v>
      </c>
      <c r="AP24" s="18"/>
    </row>
    <row r="25" spans="1:42" ht="16.5" thickBot="1" x14ac:dyDescent="0.3">
      <c r="A25" s="139" t="s">
        <v>294</v>
      </c>
      <c r="B25" s="15">
        <v>68580.100000000006</v>
      </c>
      <c r="C25" s="15">
        <v>22128.78</v>
      </c>
      <c r="D25" s="20">
        <f t="shared" si="3"/>
        <v>90708.88</v>
      </c>
      <c r="E25" s="15">
        <v>5841.74</v>
      </c>
      <c r="F25" s="15">
        <v>7041.5</v>
      </c>
      <c r="G25" s="20">
        <f t="shared" si="4"/>
        <v>12883.24</v>
      </c>
      <c r="H25" s="15">
        <v>169047.65</v>
      </c>
      <c r="I25" s="15">
        <v>7310.99</v>
      </c>
      <c r="J25" s="20">
        <f t="shared" si="2"/>
        <v>279950.76</v>
      </c>
      <c r="K25" s="42">
        <v>0</v>
      </c>
      <c r="L25" s="15">
        <v>5205.0200000000004</v>
      </c>
      <c r="M25" s="15">
        <v>25182.12</v>
      </c>
      <c r="N25" s="15">
        <v>1253743.9547999999</v>
      </c>
      <c r="P25" s="15">
        <v>21811.86</v>
      </c>
      <c r="Q25" s="15">
        <v>2786.81</v>
      </c>
      <c r="S25" s="15">
        <v>878.64</v>
      </c>
      <c r="T25" s="15"/>
      <c r="U25" s="192">
        <v>290</v>
      </c>
      <c r="V25" s="192">
        <v>276</v>
      </c>
      <c r="W25" s="189">
        <v>0.40562997053929872</v>
      </c>
      <c r="X25" s="192">
        <v>78</v>
      </c>
      <c r="Y25" s="189">
        <v>0.71794871794871795</v>
      </c>
      <c r="Z25" s="194">
        <v>1764</v>
      </c>
      <c r="AA25" s="15"/>
      <c r="AB25" s="15"/>
      <c r="AC25" s="15"/>
      <c r="AD25" s="15">
        <v>109681.65</v>
      </c>
      <c r="AE25" s="13"/>
      <c r="AF25" s="84">
        <v>636303</v>
      </c>
      <c r="AP25" s="18"/>
    </row>
    <row r="26" spans="1:42" ht="16.5" thickBot="1" x14ac:dyDescent="0.3">
      <c r="A26" s="139" t="s">
        <v>293</v>
      </c>
      <c r="B26" s="15">
        <v>5928421.5199999996</v>
      </c>
      <c r="C26" s="15">
        <v>981566.23</v>
      </c>
      <c r="D26" s="20">
        <f t="shared" si="3"/>
        <v>6909987.75</v>
      </c>
      <c r="E26" s="15">
        <v>570489.46</v>
      </c>
      <c r="F26" s="15">
        <v>333105.11</v>
      </c>
      <c r="G26" s="20">
        <f t="shared" si="4"/>
        <v>903594.57</v>
      </c>
      <c r="H26" s="15">
        <v>9602558.0600000005</v>
      </c>
      <c r="I26" s="15">
        <v>739420.1</v>
      </c>
      <c r="J26" s="20">
        <f t="shared" si="2"/>
        <v>18155560.48</v>
      </c>
      <c r="K26" s="42">
        <v>0</v>
      </c>
      <c r="L26" s="15">
        <v>337639.05</v>
      </c>
      <c r="M26" s="15"/>
      <c r="N26" s="15"/>
      <c r="P26" s="15">
        <v>1377575.74</v>
      </c>
      <c r="Q26" s="15">
        <v>180121.68</v>
      </c>
      <c r="S26" s="15">
        <v>79259.320000000007</v>
      </c>
      <c r="T26" s="15"/>
      <c r="U26" s="192">
        <v>19788</v>
      </c>
      <c r="V26" s="192">
        <v>18234</v>
      </c>
      <c r="W26" s="189">
        <v>0.22784844673069632</v>
      </c>
      <c r="X26" s="192">
        <v>3842</v>
      </c>
      <c r="Y26" s="189">
        <v>0.44612181155648101</v>
      </c>
      <c r="Z26" s="194">
        <v>100202</v>
      </c>
      <c r="AA26" s="15"/>
      <c r="AB26" s="15"/>
      <c r="AC26" s="15"/>
      <c r="AD26" s="15">
        <v>19333585.09</v>
      </c>
      <c r="AE26" s="13"/>
      <c r="AF26" s="84">
        <v>10880506</v>
      </c>
      <c r="AH26" s="267" t="s">
        <v>364</v>
      </c>
      <c r="AI26" s="267"/>
      <c r="AP26" s="18"/>
    </row>
    <row r="27" spans="1:42" ht="16.5" thickBot="1" x14ac:dyDescent="0.3">
      <c r="A27" s="139" t="s">
        <v>292</v>
      </c>
      <c r="B27" s="15">
        <v>4116835.69</v>
      </c>
      <c r="C27" s="15">
        <v>629883.53</v>
      </c>
      <c r="D27" s="20">
        <f t="shared" si="3"/>
        <v>4746719.22</v>
      </c>
      <c r="E27" s="15">
        <v>365290.58</v>
      </c>
      <c r="F27" s="15">
        <v>126884.29</v>
      </c>
      <c r="G27" s="20">
        <f t="shared" si="4"/>
        <v>492174.87</v>
      </c>
      <c r="H27" s="15">
        <v>6136793.7800000003</v>
      </c>
      <c r="I27" s="15">
        <v>634444.93999999994</v>
      </c>
      <c r="J27" s="20">
        <f t="shared" si="2"/>
        <v>12010132.810000001</v>
      </c>
      <c r="K27" s="42">
        <v>0</v>
      </c>
      <c r="L27" s="15">
        <v>223350.59</v>
      </c>
      <c r="M27" s="15"/>
      <c r="N27" s="15"/>
      <c r="P27" s="15">
        <v>904885.87</v>
      </c>
      <c r="Q27" s="15">
        <v>117069.36999999998</v>
      </c>
      <c r="S27" s="15">
        <v>49197.66</v>
      </c>
      <c r="T27" s="15"/>
      <c r="U27" s="192">
        <v>13212</v>
      </c>
      <c r="V27" s="192">
        <v>12784</v>
      </c>
      <c r="W27" s="189">
        <v>0.25281910684984404</v>
      </c>
      <c r="X27" s="192">
        <v>2403</v>
      </c>
      <c r="Y27" s="189">
        <v>0.43237619642114017</v>
      </c>
      <c r="Z27" s="194">
        <v>64037</v>
      </c>
      <c r="AA27" s="15"/>
      <c r="AB27" s="15"/>
      <c r="AC27" s="15"/>
      <c r="AD27" s="15">
        <v>6303116.2000000002</v>
      </c>
      <c r="AE27" s="13"/>
      <c r="AF27" s="84">
        <v>7609601</v>
      </c>
      <c r="AH27" s="30" t="s">
        <v>399</v>
      </c>
      <c r="AI27" s="23">
        <f>VLOOKUP($AI$2,'Diretrizes - Resumo'!$A$4:$AF$30,32,)</f>
        <v>14136417</v>
      </c>
      <c r="AP27" s="18"/>
    </row>
    <row r="28" spans="1:42" s="21" customFormat="1" ht="16.5" hidden="1" thickBot="1" x14ac:dyDescent="0.3">
      <c r="A28" s="139" t="s">
        <v>291</v>
      </c>
      <c r="B28" s="15">
        <v>518026.26</v>
      </c>
      <c r="C28" s="15">
        <v>94311.26</v>
      </c>
      <c r="D28" s="20">
        <f t="shared" si="3"/>
        <v>612337.52</v>
      </c>
      <c r="E28" s="15">
        <v>28185.71</v>
      </c>
      <c r="F28" s="15">
        <v>17902.48</v>
      </c>
      <c r="G28" s="20">
        <f t="shared" si="4"/>
        <v>46088.19</v>
      </c>
      <c r="H28" s="15">
        <v>863925.48</v>
      </c>
      <c r="I28" s="15">
        <v>73480.36</v>
      </c>
      <c r="J28" s="20">
        <f t="shared" si="2"/>
        <v>1595831.55</v>
      </c>
      <c r="K28" s="42">
        <v>0</v>
      </c>
      <c r="L28" s="15">
        <v>29678.54</v>
      </c>
      <c r="M28" s="15">
        <v>17004.36</v>
      </c>
      <c r="N28" s="15">
        <v>157366.68</v>
      </c>
      <c r="O28" s="13"/>
      <c r="P28" s="15">
        <v>124264.91</v>
      </c>
      <c r="Q28" s="15">
        <v>16097.41</v>
      </c>
      <c r="R28" s="12"/>
      <c r="S28" s="15">
        <v>5260.2</v>
      </c>
      <c r="T28" s="15"/>
      <c r="U28" s="192">
        <v>1896</v>
      </c>
      <c r="V28" s="192">
        <v>1852</v>
      </c>
      <c r="W28" s="189">
        <v>0.33369906872931582</v>
      </c>
      <c r="X28" s="192">
        <v>213</v>
      </c>
      <c r="Y28" s="189">
        <v>0.49765258215962438</v>
      </c>
      <c r="Z28" s="194">
        <v>9015</v>
      </c>
      <c r="AA28" s="15"/>
      <c r="AB28" s="15"/>
      <c r="AC28" s="15"/>
      <c r="AD28" s="15">
        <v>728228.2699999999</v>
      </c>
      <c r="AE28" s="13"/>
      <c r="AF28" s="84">
        <v>2209558</v>
      </c>
      <c r="AK28" s="3"/>
      <c r="AP28" s="18"/>
    </row>
    <row r="29" spans="1:42" ht="16.5" hidden="1" thickBot="1" x14ac:dyDescent="0.3">
      <c r="A29" s="139" t="s">
        <v>290</v>
      </c>
      <c r="B29" s="15">
        <v>19849318.800000001</v>
      </c>
      <c r="C29" s="15">
        <v>4990128.62</v>
      </c>
      <c r="D29" s="20">
        <f t="shared" si="3"/>
        <v>24839447.420000002</v>
      </c>
      <c r="E29" s="15">
        <v>1555999.77</v>
      </c>
      <c r="F29" s="15">
        <v>735252.59</v>
      </c>
      <c r="G29" s="20">
        <f t="shared" si="4"/>
        <v>2291252.36</v>
      </c>
      <c r="H29" s="15">
        <v>32553076.25</v>
      </c>
      <c r="I29" s="15">
        <v>3098579.16</v>
      </c>
      <c r="J29" s="20">
        <f t="shared" si="2"/>
        <v>62782355.189999998</v>
      </c>
      <c r="K29" s="42">
        <v>0</v>
      </c>
      <c r="L29" s="15">
        <v>1145892.08</v>
      </c>
      <c r="M29" s="15"/>
      <c r="N29" s="15"/>
      <c r="P29" s="15">
        <v>4788916.2</v>
      </c>
      <c r="Q29" s="15">
        <v>662189.32000000007</v>
      </c>
      <c r="S29" s="15">
        <v>232126.44</v>
      </c>
      <c r="T29" s="15"/>
      <c r="U29" s="192">
        <v>74625</v>
      </c>
      <c r="V29" s="192">
        <v>69155</v>
      </c>
      <c r="W29" s="189">
        <v>0.3290763239620329</v>
      </c>
      <c r="X29" s="192">
        <v>8958</v>
      </c>
      <c r="Y29" s="189">
        <v>0.35175262335342711</v>
      </c>
      <c r="Z29" s="194">
        <v>339689</v>
      </c>
      <c r="AA29" s="15"/>
      <c r="AB29" s="15"/>
      <c r="AC29" s="15"/>
      <c r="AD29" s="15">
        <v>66232389.320000008</v>
      </c>
      <c r="AE29" s="13"/>
      <c r="AF29" s="84">
        <v>44420459</v>
      </c>
      <c r="AP29" s="18"/>
    </row>
    <row r="30" spans="1:42" ht="16.5" hidden="1" thickBot="1" x14ac:dyDescent="0.3">
      <c r="A30" s="139" t="s">
        <v>289</v>
      </c>
      <c r="B30" s="15">
        <v>279608.81</v>
      </c>
      <c r="C30" s="15">
        <v>70435.94</v>
      </c>
      <c r="D30" s="20">
        <f t="shared" si="3"/>
        <v>350044.75</v>
      </c>
      <c r="E30" s="15">
        <v>25329.119999999999</v>
      </c>
      <c r="F30" s="15">
        <v>22126.35</v>
      </c>
      <c r="G30" s="20">
        <f t="shared" si="4"/>
        <v>47455.47</v>
      </c>
      <c r="H30" s="15">
        <v>485964.07</v>
      </c>
      <c r="I30" s="15">
        <v>36835.03</v>
      </c>
      <c r="J30" s="20">
        <f t="shared" si="2"/>
        <v>920299.32</v>
      </c>
      <c r="K30" s="42">
        <v>0</v>
      </c>
      <c r="L30" s="15">
        <v>17110.72</v>
      </c>
      <c r="M30" s="15">
        <v>15054.36</v>
      </c>
      <c r="N30" s="15">
        <v>670481.59815999994</v>
      </c>
      <c r="P30" s="15">
        <v>71052.679999999993</v>
      </c>
      <c r="Q30" s="15">
        <v>9322.7899999999991</v>
      </c>
      <c r="S30" s="15">
        <v>3994.16</v>
      </c>
      <c r="T30" s="15"/>
      <c r="U30" s="192">
        <v>1085</v>
      </c>
      <c r="V30" s="192">
        <v>1060</v>
      </c>
      <c r="W30" s="189">
        <v>0.35868213794886938</v>
      </c>
      <c r="X30" s="192">
        <v>275</v>
      </c>
      <c r="Y30" s="189">
        <v>0.65818181818181809</v>
      </c>
      <c r="Z30" s="194">
        <v>5071</v>
      </c>
      <c r="AA30" s="15"/>
      <c r="AB30" s="15"/>
      <c r="AC30" s="15"/>
      <c r="AD30" s="15">
        <v>1161913.3600000001</v>
      </c>
      <c r="AE30" s="13"/>
      <c r="AF30" s="84">
        <v>1511459</v>
      </c>
      <c r="AP30" s="18"/>
    </row>
    <row r="31" spans="1:42" hidden="1" x14ac:dyDescent="0.25">
      <c r="P31" s="17"/>
      <c r="Q31" s="17"/>
    </row>
    <row r="32" spans="1:42" hidden="1" x14ac:dyDescent="0.25">
      <c r="A32" s="16" t="s">
        <v>363</v>
      </c>
      <c r="B32" s="19">
        <v>2</v>
      </c>
      <c r="C32" s="19">
        <f>B32+1</f>
        <v>3</v>
      </c>
      <c r="D32" s="19">
        <f t="shared" ref="D32:Q32" si="5">C32+1</f>
        <v>4</v>
      </c>
      <c r="E32" s="19">
        <f t="shared" si="5"/>
        <v>5</v>
      </c>
      <c r="F32" s="19">
        <f t="shared" si="5"/>
        <v>6</v>
      </c>
      <c r="G32" s="19">
        <f t="shared" si="5"/>
        <v>7</v>
      </c>
      <c r="H32" s="19">
        <f t="shared" si="5"/>
        <v>8</v>
      </c>
      <c r="I32" s="19">
        <f t="shared" si="5"/>
        <v>9</v>
      </c>
      <c r="J32" s="19">
        <f t="shared" si="5"/>
        <v>10</v>
      </c>
      <c r="K32" s="19">
        <f t="shared" si="5"/>
        <v>11</v>
      </c>
      <c r="L32" s="19">
        <f t="shared" si="5"/>
        <v>12</v>
      </c>
      <c r="M32" s="19">
        <f t="shared" si="5"/>
        <v>13</v>
      </c>
      <c r="N32" s="19">
        <f t="shared" si="5"/>
        <v>14</v>
      </c>
      <c r="O32" s="19">
        <f t="shared" si="5"/>
        <v>15</v>
      </c>
      <c r="P32" s="19">
        <f t="shared" si="5"/>
        <v>16</v>
      </c>
      <c r="Q32" s="19">
        <f t="shared" si="5"/>
        <v>17</v>
      </c>
      <c r="R32" s="19">
        <f t="shared" ref="R32" si="6">Q32+1</f>
        <v>18</v>
      </c>
      <c r="S32" s="19">
        <f t="shared" ref="S32" si="7">R32+1</f>
        <v>19</v>
      </c>
      <c r="T32" s="19">
        <f t="shared" ref="T32" si="8">S32+1</f>
        <v>20</v>
      </c>
      <c r="U32" s="19">
        <f t="shared" ref="U32" si="9">T32+1</f>
        <v>21</v>
      </c>
      <c r="V32" s="19">
        <f t="shared" ref="V32" si="10">U32+1</f>
        <v>22</v>
      </c>
      <c r="W32" s="19">
        <f t="shared" ref="W32" si="11">V32+1</f>
        <v>23</v>
      </c>
      <c r="X32" s="19">
        <f t="shared" ref="X32" si="12">W32+1</f>
        <v>24</v>
      </c>
      <c r="Y32" s="19">
        <f t="shared" ref="Y32" si="13">X32+1</f>
        <v>25</v>
      </c>
      <c r="Z32" s="19">
        <f t="shared" ref="Z32" si="14">Y32+1</f>
        <v>26</v>
      </c>
      <c r="AA32" s="19">
        <f t="shared" ref="AA32" si="15">Z32+1</f>
        <v>27</v>
      </c>
      <c r="AB32" s="19">
        <f t="shared" ref="AB32" si="16">AA32+1</f>
        <v>28</v>
      </c>
      <c r="AC32" s="19">
        <f t="shared" ref="AC32" si="17">AB32+1</f>
        <v>29</v>
      </c>
      <c r="AD32" s="19">
        <f>AC32+1</f>
        <v>30</v>
      </c>
      <c r="AE32" s="19">
        <f t="shared" ref="AE32" si="18">AD32+1</f>
        <v>31</v>
      </c>
      <c r="AF32" s="19">
        <f t="shared" ref="AF32" si="19">AE32+1</f>
        <v>32</v>
      </c>
    </row>
    <row r="33" spans="16:17" hidden="1" x14ac:dyDescent="0.25">
      <c r="P33" s="50"/>
      <c r="Q33" s="50"/>
    </row>
    <row r="34" spans="16:17" hidden="1" x14ac:dyDescent="0.25">
      <c r="P34" s="50"/>
      <c r="Q34" s="50"/>
    </row>
    <row r="35" spans="16:17" hidden="1" x14ac:dyDescent="0.25">
      <c r="P35" s="50"/>
      <c r="Q35" s="50"/>
    </row>
    <row r="36" spans="16:17" hidden="1" x14ac:dyDescent="0.25">
      <c r="P36" s="50"/>
      <c r="Q36" s="50"/>
    </row>
  </sheetData>
  <mergeCells count="19">
    <mergeCell ref="AH26:AI26"/>
    <mergeCell ref="H2:H3"/>
    <mergeCell ref="J2:J3"/>
    <mergeCell ref="L1:N2"/>
    <mergeCell ref="P1:Q2"/>
    <mergeCell ref="U1:Z1"/>
    <mergeCell ref="U2:W2"/>
    <mergeCell ref="X2:Y2"/>
    <mergeCell ref="S1:S2"/>
    <mergeCell ref="AB2:AB3"/>
    <mergeCell ref="AD2:AD3"/>
    <mergeCell ref="AK2:AL2"/>
    <mergeCell ref="AH18:AI18"/>
    <mergeCell ref="A1:A3"/>
    <mergeCell ref="B1:J1"/>
    <mergeCell ref="E2:G2"/>
    <mergeCell ref="B2:D2"/>
    <mergeCell ref="I2:I3"/>
    <mergeCell ref="AF2:AF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'Validação de dados'!$G$1:$G$27</xm:f>
          </x14:formula1>
          <xm:sqref>AI2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O26"/>
  <sheetViews>
    <sheetView showGridLines="0" zoomScaleNormal="100" workbookViewId="0">
      <selection activeCell="B10" sqref="A10:XFD10"/>
    </sheetView>
  </sheetViews>
  <sheetFormatPr defaultColWidth="0" defaultRowHeight="23.25" zeroHeight="1" x14ac:dyDescent="0.25"/>
  <cols>
    <col min="1" max="1" width="16.5703125" style="209" customWidth="1"/>
    <col min="2" max="2" width="70.42578125" style="210" customWidth="1"/>
    <col min="3" max="3" width="8.42578125" style="211" bestFit="1" customWidth="1"/>
    <col min="4" max="4" width="17.7109375" style="212" customWidth="1"/>
    <col min="5" max="5" width="8.140625" style="211" bestFit="1" customWidth="1"/>
    <col min="6" max="6" width="17.7109375" style="212" customWidth="1"/>
    <col min="7" max="7" width="8.42578125" style="211" bestFit="1" customWidth="1"/>
    <col min="8" max="8" width="17.7109375" style="212" customWidth="1"/>
    <col min="9" max="9" width="8.42578125" style="211" bestFit="1" customWidth="1"/>
    <col min="10" max="10" width="17.7109375" style="212" customWidth="1"/>
    <col min="11" max="11" width="11.28515625" style="210" customWidth="1"/>
    <col min="12" max="12" width="8.5703125" style="208" customWidth="1"/>
    <col min="13" max="13" width="130.7109375" style="45" bestFit="1" customWidth="1"/>
    <col min="14" max="249" width="0" style="208" hidden="1" customWidth="1"/>
    <col min="250" max="16384" width="22.5703125" style="208" hidden="1"/>
  </cols>
  <sheetData>
    <row r="1" spans="1:13" x14ac:dyDescent="0.25">
      <c r="A1" s="290" t="s">
        <v>357</v>
      </c>
      <c r="B1" s="290" t="s">
        <v>356</v>
      </c>
      <c r="C1" s="284" t="s">
        <v>355</v>
      </c>
      <c r="D1" s="284"/>
      <c r="E1" s="284" t="s">
        <v>358</v>
      </c>
      <c r="F1" s="284"/>
      <c r="G1" s="284" t="s">
        <v>354</v>
      </c>
      <c r="H1" s="284"/>
      <c r="I1" s="284" t="s">
        <v>353</v>
      </c>
      <c r="J1" s="284"/>
      <c r="K1" s="285" t="s">
        <v>352</v>
      </c>
      <c r="L1" s="239"/>
      <c r="M1" s="245" t="s">
        <v>359</v>
      </c>
    </row>
    <row r="2" spans="1:13" ht="24" thickBot="1" x14ac:dyDescent="0.3">
      <c r="A2" s="291"/>
      <c r="B2" s="291"/>
      <c r="C2" s="240" t="s">
        <v>351</v>
      </c>
      <c r="D2" s="241" t="s">
        <v>48</v>
      </c>
      <c r="E2" s="240" t="s">
        <v>351</v>
      </c>
      <c r="F2" s="241" t="s">
        <v>48</v>
      </c>
      <c r="G2" s="240" t="s">
        <v>351</v>
      </c>
      <c r="H2" s="241" t="s">
        <v>48</v>
      </c>
      <c r="I2" s="240" t="s">
        <v>351</v>
      </c>
      <c r="J2" s="241" t="s">
        <v>48</v>
      </c>
      <c r="K2" s="286"/>
      <c r="L2" s="239"/>
      <c r="M2" s="246" t="s">
        <v>360</v>
      </c>
    </row>
    <row r="3" spans="1:13" ht="30.75" customHeight="1" x14ac:dyDescent="0.25">
      <c r="A3" s="287" t="s">
        <v>156</v>
      </c>
      <c r="B3" s="242" t="s">
        <v>18</v>
      </c>
      <c r="C3" s="227">
        <f>COUNTIFS('Quadro Geral'!$E:$E,'Matriz de Obj. Estrat.'!$B3,'Quadro Geral'!$B:$B,"P")</f>
        <v>0</v>
      </c>
      <c r="D3" s="185">
        <f>SUMIFS('Quadro Geral'!$I:$I,'Quadro Geral'!$E:$E,'Matriz de Obj. Estrat.'!$B3,'Quadro Geral'!$B:$B,"P")</f>
        <v>0</v>
      </c>
      <c r="E3" s="227">
        <f>COUNTIFS('Quadro Geral'!$E:$E,'Matriz de Obj. Estrat.'!$B3,'Quadro Geral'!$B:$B,"PE")</f>
        <v>0</v>
      </c>
      <c r="F3" s="185">
        <f>SUMIFS('Quadro Geral'!$I:$I,'Quadro Geral'!$E:$E,'Matriz de Obj. Estrat.'!$B3,'Quadro Geral'!$B:$B,"PE")</f>
        <v>0</v>
      </c>
      <c r="G3" s="227">
        <f>COUNTIFS('Quadro Geral'!$E:$E,'Matriz de Obj. Estrat.'!$B3,'Quadro Geral'!$B:$B,"A")</f>
        <v>0</v>
      </c>
      <c r="H3" s="185">
        <f>SUMIFS('Quadro Geral'!$I:$I,'Quadro Geral'!$E:$E,'Matriz de Obj. Estrat.'!$B3,'Quadro Geral'!$B:$B,"A")</f>
        <v>0</v>
      </c>
      <c r="I3" s="227">
        <f>C3+E3+G3</f>
        <v>0</v>
      </c>
      <c r="J3" s="185">
        <f>D3+F3+H3</f>
        <v>0</v>
      </c>
      <c r="K3" s="228">
        <f t="shared" ref="K3:K18" si="0">IFERROR(J3/$J$19*100,0)</f>
        <v>0</v>
      </c>
      <c r="L3" s="239"/>
      <c r="M3" s="247" t="s">
        <v>121</v>
      </c>
    </row>
    <row r="4" spans="1:13" ht="30.75" customHeight="1" x14ac:dyDescent="0.25">
      <c r="A4" s="287"/>
      <c r="B4" s="242" t="s">
        <v>141</v>
      </c>
      <c r="C4" s="227">
        <f>COUNTIFS('Quadro Geral'!$E:$E,'Matriz de Obj. Estrat.'!$B4,'Quadro Geral'!$B:$B,"P")</f>
        <v>0</v>
      </c>
      <c r="D4" s="185">
        <f>SUMIFS('Quadro Geral'!$I:$I,'Quadro Geral'!$E:$E,'Matriz de Obj. Estrat.'!$B4,'Quadro Geral'!$B:$B,"P")</f>
        <v>0</v>
      </c>
      <c r="E4" s="227">
        <f>COUNTIFS('Quadro Geral'!$E:$E,'Matriz de Obj. Estrat.'!$B4,'Quadro Geral'!$B:$B,"PE")</f>
        <v>0</v>
      </c>
      <c r="F4" s="185">
        <f>SUMIFS('Quadro Geral'!$I:$I,'Quadro Geral'!$E:$E,'Matriz de Obj. Estrat.'!$B4,'Quadro Geral'!$B:$B,"PE")</f>
        <v>0</v>
      </c>
      <c r="G4" s="227">
        <f>COUNTIFS('Quadro Geral'!$E:$E,'Matriz de Obj. Estrat.'!$B4,'Quadro Geral'!$B:$B,"A")</f>
        <v>0</v>
      </c>
      <c r="H4" s="185">
        <f>SUMIFS('Quadro Geral'!$I:$I,'Quadro Geral'!$E:$E,'Matriz de Obj. Estrat.'!$B4,'Quadro Geral'!$B:$B,"A")</f>
        <v>0</v>
      </c>
      <c r="I4" s="227">
        <f t="shared" ref="I4:I18" si="1">C4+E4+G4</f>
        <v>0</v>
      </c>
      <c r="J4" s="185">
        <f t="shared" ref="J4:J18" si="2">D4+F4+H4</f>
        <v>0</v>
      </c>
      <c r="K4" s="228">
        <f t="shared" si="0"/>
        <v>0</v>
      </c>
      <c r="L4" s="239"/>
      <c r="M4" s="248" t="s">
        <v>26</v>
      </c>
    </row>
    <row r="5" spans="1:13" ht="30.75" customHeight="1" thickBot="1" x14ac:dyDescent="0.3">
      <c r="A5" s="288" t="s">
        <v>350</v>
      </c>
      <c r="B5" s="242" t="s">
        <v>19</v>
      </c>
      <c r="C5" s="227">
        <f>COUNTIFS('Quadro Geral'!$E:$E,'Matriz de Obj. Estrat.'!$B5,'Quadro Geral'!$B:$B,"P")</f>
        <v>0</v>
      </c>
      <c r="D5" s="185">
        <f>SUMIFS('Quadro Geral'!$I:$I,'Quadro Geral'!$E:$E,'Matriz de Obj. Estrat.'!$B5,'Quadro Geral'!$B:$B,"P")</f>
        <v>0</v>
      </c>
      <c r="E5" s="227">
        <f>COUNTIFS('Quadro Geral'!$E:$E,'Matriz de Obj. Estrat.'!$B5,'Quadro Geral'!$B:$B,"PE")</f>
        <v>0</v>
      </c>
      <c r="F5" s="185">
        <f>SUMIFS('Quadro Geral'!$I:$I,'Quadro Geral'!$E:$E,'Matriz de Obj. Estrat.'!$B5,'Quadro Geral'!$B:$B,"PE")</f>
        <v>0</v>
      </c>
      <c r="G5" s="227">
        <f>COUNTIFS('Quadro Geral'!$E:$E,'Matriz de Obj. Estrat.'!$B5,'Quadro Geral'!$B:$B,"A")</f>
        <v>3</v>
      </c>
      <c r="H5" s="185">
        <f>SUMIFS('Quadro Geral'!$I:$I,'Quadro Geral'!$E:$E,'Matriz de Obj. Estrat.'!$B5,'Quadro Geral'!$B:$B,"A")</f>
        <v>901361.85</v>
      </c>
      <c r="I5" s="227">
        <f t="shared" si="1"/>
        <v>3</v>
      </c>
      <c r="J5" s="185">
        <f t="shared" si="2"/>
        <v>901361.85</v>
      </c>
      <c r="K5" s="228">
        <f t="shared" si="0"/>
        <v>7.692578849759232</v>
      </c>
      <c r="L5" s="239"/>
      <c r="M5" s="249"/>
    </row>
    <row r="6" spans="1:13" ht="30.75" customHeight="1" x14ac:dyDescent="0.25">
      <c r="A6" s="288"/>
      <c r="B6" s="242" t="s">
        <v>109</v>
      </c>
      <c r="C6" s="227">
        <f>COUNTIFS('Quadro Geral'!$E:$E,'Matriz de Obj. Estrat.'!$B6,'Quadro Geral'!$B:$B,"P")</f>
        <v>1</v>
      </c>
      <c r="D6" s="185">
        <f>SUMIFS('Quadro Geral'!$I:$I,'Quadro Geral'!$E:$E,'Matriz de Obj. Estrat.'!$B6,'Quadro Geral'!$B:$B,"P")</f>
        <v>30000</v>
      </c>
      <c r="E6" s="227">
        <f>COUNTIFS('Quadro Geral'!$E:$E,'Matriz de Obj. Estrat.'!$B6,'Quadro Geral'!$B:$B,"PE")</f>
        <v>0</v>
      </c>
      <c r="F6" s="185">
        <f>SUMIFS('Quadro Geral'!$I:$I,'Quadro Geral'!$E:$E,'Matriz de Obj. Estrat.'!$B6,'Quadro Geral'!$B:$B,"PE")</f>
        <v>0</v>
      </c>
      <c r="G6" s="227">
        <f>COUNTIFS('Quadro Geral'!$E:$E,'Matriz de Obj. Estrat.'!$B6,'Quadro Geral'!$B:$B,"A")</f>
        <v>3</v>
      </c>
      <c r="H6" s="185">
        <f>SUMIFS('Quadro Geral'!$I:$I,'Quadro Geral'!$E:$E,'Matriz de Obj. Estrat.'!$B6,'Quadro Geral'!$B:$B,"A")</f>
        <v>557763.89</v>
      </c>
      <c r="I6" s="227">
        <f t="shared" si="1"/>
        <v>4</v>
      </c>
      <c r="J6" s="185">
        <f t="shared" si="2"/>
        <v>587763.89</v>
      </c>
      <c r="K6" s="228">
        <f t="shared" si="0"/>
        <v>5.0162097151839875</v>
      </c>
      <c r="L6" s="239"/>
    </row>
    <row r="7" spans="1:13" ht="30.75" customHeight="1" x14ac:dyDescent="0.25">
      <c r="A7" s="288"/>
      <c r="B7" s="242" t="s">
        <v>21</v>
      </c>
      <c r="C7" s="227">
        <f>COUNTIFS('Quadro Geral'!$E:$E,'Matriz de Obj. Estrat.'!$B7,'Quadro Geral'!$B:$B,"P")</f>
        <v>1</v>
      </c>
      <c r="D7" s="185">
        <f>SUMIFS('Quadro Geral'!$I:$I,'Quadro Geral'!$E:$E,'Matriz de Obj. Estrat.'!$B7,'Quadro Geral'!$B:$B,"P")</f>
        <v>100000</v>
      </c>
      <c r="E7" s="227">
        <f>COUNTIFS('Quadro Geral'!$E:$E,'Matriz de Obj. Estrat.'!$B7,'Quadro Geral'!$B:$B,"PE")</f>
        <v>0</v>
      </c>
      <c r="F7" s="185">
        <f>SUMIFS('Quadro Geral'!$I:$I,'Quadro Geral'!$E:$E,'Matriz de Obj. Estrat.'!$B7,'Quadro Geral'!$B:$B,"PE")</f>
        <v>0</v>
      </c>
      <c r="G7" s="227">
        <f>COUNTIFS('Quadro Geral'!$E:$E,'Matriz de Obj. Estrat.'!$B7,'Quadro Geral'!$B:$B,"A")</f>
        <v>0</v>
      </c>
      <c r="H7" s="185">
        <f>SUMIFS('Quadro Geral'!$I:$I,'Quadro Geral'!$E:$E,'Matriz de Obj. Estrat.'!$B7,'Quadro Geral'!$B:$B,"A")</f>
        <v>0</v>
      </c>
      <c r="I7" s="227">
        <f t="shared" si="1"/>
        <v>1</v>
      </c>
      <c r="J7" s="185">
        <f t="shared" si="2"/>
        <v>100000</v>
      </c>
      <c r="K7" s="228">
        <f t="shared" si="0"/>
        <v>0.8534395869715623</v>
      </c>
      <c r="L7" s="239"/>
    </row>
    <row r="8" spans="1:13" ht="30.75" customHeight="1" x14ac:dyDescent="0.25">
      <c r="A8" s="288"/>
      <c r="B8" s="242" t="s">
        <v>121</v>
      </c>
      <c r="C8" s="227">
        <f>COUNTIFS('Quadro Geral'!$E:$E,'Matriz de Obj. Estrat.'!$B8,'Quadro Geral'!$B:$B,"P")</f>
        <v>0</v>
      </c>
      <c r="D8" s="185">
        <f>SUMIFS('Quadro Geral'!$I:$I,'Quadro Geral'!$E:$E,'Matriz de Obj. Estrat.'!$B8,'Quadro Geral'!$B:$B,"P")</f>
        <v>0</v>
      </c>
      <c r="E8" s="227">
        <f>COUNTIFS('Quadro Geral'!$E:$E,'Matriz de Obj. Estrat.'!$B8,'Quadro Geral'!$B:$B,"PE")</f>
        <v>0</v>
      </c>
      <c r="F8" s="185">
        <f>SUMIFS('Quadro Geral'!$I:$I,'Quadro Geral'!$E:$E,'Matriz de Obj. Estrat.'!$B8,'Quadro Geral'!$B:$B,"PE")</f>
        <v>0</v>
      </c>
      <c r="G8" s="227">
        <f>COUNTIFS('Quadro Geral'!$E:$E,'Matriz de Obj. Estrat.'!$B8,'Quadro Geral'!$B:$B,"A")</f>
        <v>1</v>
      </c>
      <c r="H8" s="185">
        <f>SUMIFS('Quadro Geral'!$I:$I,'Quadro Geral'!$E:$E,'Matriz de Obj. Estrat.'!$B8,'Quadro Geral'!$B:$B,"A")</f>
        <v>86700</v>
      </c>
      <c r="I8" s="227">
        <f t="shared" si="1"/>
        <v>1</v>
      </c>
      <c r="J8" s="185">
        <f t="shared" si="2"/>
        <v>86700</v>
      </c>
      <c r="K8" s="228">
        <f t="shared" si="0"/>
        <v>0.73993212190434454</v>
      </c>
      <c r="L8" s="239"/>
    </row>
    <row r="9" spans="1:13" ht="30.75" customHeight="1" x14ac:dyDescent="0.25">
      <c r="A9" s="288"/>
      <c r="B9" s="242" t="s">
        <v>142</v>
      </c>
      <c r="C9" s="227">
        <f>COUNTIFS('Quadro Geral'!$E:$E,'Matriz de Obj. Estrat.'!$B9,'Quadro Geral'!$B:$B,"P")</f>
        <v>0</v>
      </c>
      <c r="D9" s="185">
        <f>SUMIFS('Quadro Geral'!$I:$I,'Quadro Geral'!$E:$E,'Matriz de Obj. Estrat.'!$B9,'Quadro Geral'!$B:$B,"P")</f>
        <v>0</v>
      </c>
      <c r="E9" s="227">
        <f>COUNTIFS('Quadro Geral'!$E:$E,'Matriz de Obj. Estrat.'!$B9,'Quadro Geral'!$B:$B,"PE")</f>
        <v>0</v>
      </c>
      <c r="F9" s="185">
        <f>SUMIFS('Quadro Geral'!$I:$I,'Quadro Geral'!$E:$E,'Matriz de Obj. Estrat.'!$B9,'Quadro Geral'!$B:$B,"PE")</f>
        <v>0</v>
      </c>
      <c r="G9" s="227">
        <f>COUNTIFS('Quadro Geral'!$E:$E,'Matriz de Obj. Estrat.'!$B9,'Quadro Geral'!$B:$B,"A")</f>
        <v>0</v>
      </c>
      <c r="H9" s="185">
        <f>SUMIFS('Quadro Geral'!$I:$I,'Quadro Geral'!$E:$E,'Matriz de Obj. Estrat.'!$B9,'Quadro Geral'!$B:$B,"A")</f>
        <v>0</v>
      </c>
      <c r="I9" s="227">
        <f t="shared" si="1"/>
        <v>0</v>
      </c>
      <c r="J9" s="185">
        <f t="shared" si="2"/>
        <v>0</v>
      </c>
      <c r="K9" s="228">
        <f t="shared" si="0"/>
        <v>0</v>
      </c>
      <c r="L9" s="239"/>
    </row>
    <row r="10" spans="1:13" ht="30.75" customHeight="1" x14ac:dyDescent="0.25">
      <c r="A10" s="288"/>
      <c r="B10" s="242" t="s">
        <v>115</v>
      </c>
      <c r="C10" s="227">
        <f>COUNTIFS('Quadro Geral'!$E:$E,'Matriz de Obj. Estrat.'!$B10,'Quadro Geral'!$B:$B,"P")</f>
        <v>0</v>
      </c>
      <c r="D10" s="185">
        <f>SUMIFS('Quadro Geral'!$I:$I,'Quadro Geral'!$E:$E,'Matriz de Obj. Estrat.'!$B10,'Quadro Geral'!$B:$B,"P")</f>
        <v>0</v>
      </c>
      <c r="E10" s="227">
        <f>COUNTIFS('Quadro Geral'!$E:$E,'Matriz de Obj. Estrat.'!$B10,'Quadro Geral'!$B:$B,"PE")</f>
        <v>0</v>
      </c>
      <c r="F10" s="185">
        <f>SUMIFS('Quadro Geral'!$I:$I,'Quadro Geral'!$E:$E,'Matriz de Obj. Estrat.'!$B10,'Quadro Geral'!$B:$B,"PE")</f>
        <v>0</v>
      </c>
      <c r="G10" s="227">
        <f>COUNTIFS('Quadro Geral'!$E:$E,'Matriz de Obj. Estrat.'!$B10,'Quadro Geral'!$B:$B,"A")</f>
        <v>1</v>
      </c>
      <c r="H10" s="185">
        <f>SUMIFS('Quadro Geral'!$I:$I,'Quadro Geral'!$E:$E,'Matriz de Obj. Estrat.'!$B10,'Quadro Geral'!$B:$B,"A")</f>
        <v>130000</v>
      </c>
      <c r="I10" s="227">
        <f t="shared" si="1"/>
        <v>1</v>
      </c>
      <c r="J10" s="185">
        <f t="shared" si="2"/>
        <v>130000</v>
      </c>
      <c r="K10" s="228">
        <f t="shared" si="0"/>
        <v>1.1094714630630311</v>
      </c>
      <c r="L10" s="239"/>
    </row>
    <row r="11" spans="1:13" ht="30.75" customHeight="1" x14ac:dyDescent="0.25">
      <c r="A11" s="288"/>
      <c r="B11" s="242" t="s">
        <v>24</v>
      </c>
      <c r="C11" s="227">
        <f>COUNTIFS('Quadro Geral'!$E:$E,'Matriz de Obj. Estrat.'!$B11,'Quadro Geral'!$B:$B,"P")</f>
        <v>1</v>
      </c>
      <c r="D11" s="185">
        <f>SUMIFS('Quadro Geral'!$I:$I,'Quadro Geral'!$E:$E,'Matriz de Obj. Estrat.'!$B11,'Quadro Geral'!$B:$B,"P")</f>
        <v>100000</v>
      </c>
      <c r="E11" s="227">
        <f>COUNTIFS('Quadro Geral'!$E:$E,'Matriz de Obj. Estrat.'!$B11,'Quadro Geral'!$B:$B,"PE")</f>
        <v>0</v>
      </c>
      <c r="F11" s="185">
        <f>SUMIFS('Quadro Geral'!$I:$I,'Quadro Geral'!$E:$E,'Matriz de Obj. Estrat.'!$B11,'Quadro Geral'!$B:$B,"PE")</f>
        <v>0</v>
      </c>
      <c r="G11" s="227">
        <f>COUNTIFS('Quadro Geral'!$E:$E,'Matriz de Obj. Estrat.'!$B11,'Quadro Geral'!$B:$B,"A")</f>
        <v>2</v>
      </c>
      <c r="H11" s="185">
        <f>SUMIFS('Quadro Geral'!$I:$I,'Quadro Geral'!$E:$E,'Matriz de Obj. Estrat.'!$B11,'Quadro Geral'!$B:$B,"A")</f>
        <v>843480.72</v>
      </c>
      <c r="I11" s="227">
        <f t="shared" si="1"/>
        <v>3</v>
      </c>
      <c r="J11" s="185">
        <f t="shared" si="2"/>
        <v>943480.72</v>
      </c>
      <c r="K11" s="228">
        <f t="shared" si="0"/>
        <v>8.0520379599243217</v>
      </c>
      <c r="L11" s="239"/>
    </row>
    <row r="12" spans="1:13" ht="30.75" customHeight="1" x14ac:dyDescent="0.25">
      <c r="A12" s="288"/>
      <c r="B12" s="242" t="s">
        <v>25</v>
      </c>
      <c r="C12" s="227">
        <f>COUNTIFS('Quadro Geral'!$E:$E,'Matriz de Obj. Estrat.'!$B12,'Quadro Geral'!$B:$B,"P")</f>
        <v>0</v>
      </c>
      <c r="D12" s="185">
        <f>SUMIFS('Quadro Geral'!$I:$I,'Quadro Geral'!$E:$E,'Matriz de Obj. Estrat.'!$B12,'Quadro Geral'!$B:$B,"P")</f>
        <v>0</v>
      </c>
      <c r="E12" s="227">
        <f>COUNTIFS('Quadro Geral'!$E:$E,'Matriz de Obj. Estrat.'!$B12,'Quadro Geral'!$B:$B,"PE")</f>
        <v>0</v>
      </c>
      <c r="F12" s="185">
        <f>SUMIFS('Quadro Geral'!$I:$I,'Quadro Geral'!$E:$E,'Matriz de Obj. Estrat.'!$B12,'Quadro Geral'!$B:$B,"PE")</f>
        <v>0</v>
      </c>
      <c r="G12" s="227">
        <f>COUNTIFS('Quadro Geral'!$E:$E,'Matriz de Obj. Estrat.'!$B12,'Quadro Geral'!$B:$B,"A")</f>
        <v>2</v>
      </c>
      <c r="H12" s="185">
        <f>SUMIFS('Quadro Geral'!$I:$I,'Quadro Geral'!$E:$E,'Matriz de Obj. Estrat.'!$B12,'Quadro Geral'!$B:$B,"A")</f>
        <v>424429.30000000005</v>
      </c>
      <c r="I12" s="227">
        <f t="shared" si="1"/>
        <v>2</v>
      </c>
      <c r="J12" s="185">
        <f t="shared" si="2"/>
        <v>424429.30000000005</v>
      </c>
      <c r="K12" s="228">
        <f t="shared" si="0"/>
        <v>3.6222476649062934</v>
      </c>
      <c r="L12" s="239"/>
    </row>
    <row r="13" spans="1:13" ht="30.75" customHeight="1" x14ac:dyDescent="0.25">
      <c r="A13" s="288"/>
      <c r="B13" s="242" t="s">
        <v>26</v>
      </c>
      <c r="C13" s="227">
        <f>COUNTIFS('Quadro Geral'!$E:$E,'Matriz de Obj. Estrat.'!$B13,'Quadro Geral'!$B:$B,"P")</f>
        <v>1</v>
      </c>
      <c r="D13" s="185">
        <f>SUMIFS('Quadro Geral'!$I:$I,'Quadro Geral'!$E:$E,'Matriz de Obj. Estrat.'!$B13,'Quadro Geral'!$B:$B,"P")</f>
        <v>270000</v>
      </c>
      <c r="E13" s="227">
        <f>COUNTIFS('Quadro Geral'!$E:$E,'Matriz de Obj. Estrat.'!$B13,'Quadro Geral'!$B:$B,"PE")</f>
        <v>0</v>
      </c>
      <c r="F13" s="185">
        <f>SUMIFS('Quadro Geral'!$I:$I,'Quadro Geral'!$E:$E,'Matriz de Obj. Estrat.'!$B13,'Quadro Geral'!$B:$B,"PE")</f>
        <v>0</v>
      </c>
      <c r="G13" s="227">
        <f>COUNTIFS('Quadro Geral'!$E:$E,'Matriz de Obj. Estrat.'!$B13,'Quadro Geral'!$B:$B,"A")</f>
        <v>0</v>
      </c>
      <c r="H13" s="185">
        <f>SUMIFS('Quadro Geral'!$I:$I,'Quadro Geral'!$E:$E,'Matriz de Obj. Estrat.'!$B13,'Quadro Geral'!$B:$B,"A")</f>
        <v>0</v>
      </c>
      <c r="I13" s="227">
        <f t="shared" si="1"/>
        <v>1</v>
      </c>
      <c r="J13" s="185">
        <f t="shared" si="2"/>
        <v>270000</v>
      </c>
      <c r="K13" s="228">
        <f t="shared" si="0"/>
        <v>2.3042868848232185</v>
      </c>
      <c r="L13" s="239"/>
    </row>
    <row r="14" spans="1:13" ht="30.75" customHeight="1" x14ac:dyDescent="0.25">
      <c r="A14" s="288"/>
      <c r="B14" s="242" t="s">
        <v>27</v>
      </c>
      <c r="C14" s="227">
        <f>COUNTIFS('Quadro Geral'!$E:$E,'Matriz de Obj. Estrat.'!$B14,'Quadro Geral'!$B:$B,"P")</f>
        <v>0</v>
      </c>
      <c r="D14" s="185">
        <f>SUMIFS('Quadro Geral'!$I:$I,'Quadro Geral'!$E:$E,'Matriz de Obj. Estrat.'!$B14,'Quadro Geral'!$B:$B,"P")</f>
        <v>0</v>
      </c>
      <c r="E14" s="227">
        <f>COUNTIFS('Quadro Geral'!$E:$E,'Matriz de Obj. Estrat.'!$B14,'Quadro Geral'!$B:$B,"PE")</f>
        <v>0</v>
      </c>
      <c r="F14" s="185">
        <f>SUMIFS('Quadro Geral'!$I:$I,'Quadro Geral'!$E:$E,'Matriz de Obj. Estrat.'!$B14,'Quadro Geral'!$B:$B,"PE")</f>
        <v>0</v>
      </c>
      <c r="G14" s="227">
        <f>COUNTIFS('Quadro Geral'!$E:$E,'Matriz de Obj. Estrat.'!$B14,'Quadro Geral'!$B:$B,"A")</f>
        <v>4</v>
      </c>
      <c r="H14" s="185">
        <f>SUMIFS('Quadro Geral'!$I:$I,'Quadro Geral'!$E:$E,'Matriz de Obj. Estrat.'!$B14,'Quadro Geral'!$B:$B,"A")</f>
        <v>708987.21</v>
      </c>
      <c r="I14" s="227">
        <f t="shared" si="1"/>
        <v>4</v>
      </c>
      <c r="J14" s="185">
        <f t="shared" si="2"/>
        <v>708987.21</v>
      </c>
      <c r="K14" s="228">
        <f t="shared" si="0"/>
        <v>6.0507775167052023</v>
      </c>
      <c r="L14" s="239"/>
    </row>
    <row r="15" spans="1:13" ht="30.75" customHeight="1" x14ac:dyDescent="0.25">
      <c r="A15" s="288"/>
      <c r="B15" s="242" t="s">
        <v>28</v>
      </c>
      <c r="C15" s="227">
        <f>COUNTIFS('Quadro Geral'!$E:$E,'Matriz de Obj. Estrat.'!$B15,'Quadro Geral'!$B:$B,"P")</f>
        <v>2</v>
      </c>
      <c r="D15" s="185">
        <f>SUMIFS('Quadro Geral'!$I:$I,'Quadro Geral'!$E:$E,'Matriz de Obj. Estrat.'!$B15,'Quadro Geral'!$B:$B,"P")</f>
        <v>0</v>
      </c>
      <c r="E15" s="227">
        <f>COUNTIFS('Quadro Geral'!$E:$E,'Matriz de Obj. Estrat.'!$B15,'Quadro Geral'!$B:$B,"PE")</f>
        <v>0</v>
      </c>
      <c r="F15" s="185">
        <f>SUMIFS('Quadro Geral'!$I:$I,'Quadro Geral'!$E:$E,'Matriz de Obj. Estrat.'!$B15,'Quadro Geral'!$B:$B,"PE")</f>
        <v>0</v>
      </c>
      <c r="G15" s="227">
        <f>COUNTIFS('Quadro Geral'!$E:$E,'Matriz de Obj. Estrat.'!$B15,'Quadro Geral'!$B:$B,"A")</f>
        <v>4</v>
      </c>
      <c r="H15" s="185">
        <f>SUMIFS('Quadro Geral'!$I:$I,'Quadro Geral'!$E:$E,'Matriz de Obj. Estrat.'!$B15,'Quadro Geral'!$B:$B,"A")</f>
        <v>1332150.43</v>
      </c>
      <c r="I15" s="227">
        <f t="shared" si="1"/>
        <v>6</v>
      </c>
      <c r="J15" s="185">
        <f t="shared" si="2"/>
        <v>1332150.43</v>
      </c>
      <c r="K15" s="228">
        <f t="shared" si="0"/>
        <v>11.369099127631891</v>
      </c>
      <c r="L15" s="239"/>
    </row>
    <row r="16" spans="1:13" ht="30.75" customHeight="1" x14ac:dyDescent="0.25">
      <c r="A16" s="288" t="s">
        <v>349</v>
      </c>
      <c r="B16" s="242" t="s">
        <v>29</v>
      </c>
      <c r="C16" s="227">
        <f>COUNTIFS('Quadro Geral'!$E:$E,'Matriz de Obj. Estrat.'!$B16,'Quadro Geral'!$B:$B,"P")</f>
        <v>0</v>
      </c>
      <c r="D16" s="185">
        <f>SUMIFS('Quadro Geral'!$I:$I,'Quadro Geral'!$E:$E,'Matriz de Obj. Estrat.'!$B16,'Quadro Geral'!$B:$B,"P")</f>
        <v>0</v>
      </c>
      <c r="E16" s="227">
        <f>COUNTIFS('Quadro Geral'!$E:$E,'Matriz de Obj. Estrat.'!$B16,'Quadro Geral'!$B:$B,"PE")</f>
        <v>0</v>
      </c>
      <c r="F16" s="185">
        <f>SUMIFS('Quadro Geral'!$I:$I,'Quadro Geral'!$E:$E,'Matriz de Obj. Estrat.'!$B16,'Quadro Geral'!$B:$B,"PE")</f>
        <v>0</v>
      </c>
      <c r="G16" s="227">
        <f>COUNTIFS('Quadro Geral'!$E:$E,'Matriz de Obj. Estrat.'!$B16,'Quadro Geral'!$B:$B,"A")</f>
        <v>1</v>
      </c>
      <c r="H16" s="185">
        <f>SUMIFS('Quadro Geral'!$I:$I,'Quadro Geral'!$E:$E,'Matriz de Obj. Estrat.'!$B16,'Quadro Geral'!$B:$B,"A")</f>
        <v>60000</v>
      </c>
      <c r="I16" s="227">
        <f t="shared" si="1"/>
        <v>1</v>
      </c>
      <c r="J16" s="185">
        <f t="shared" si="2"/>
        <v>60000</v>
      </c>
      <c r="K16" s="228">
        <f t="shared" si="0"/>
        <v>0.51206375218293743</v>
      </c>
      <c r="L16" s="239"/>
    </row>
    <row r="17" spans="1:12" ht="30.75" customHeight="1" x14ac:dyDescent="0.25">
      <c r="A17" s="288"/>
      <c r="B17" s="242" t="s">
        <v>30</v>
      </c>
      <c r="C17" s="227">
        <f>COUNTIFS('Quadro Geral'!$E:$E,'Matriz de Obj. Estrat.'!$B17,'Quadro Geral'!$B:$B,"P")</f>
        <v>0</v>
      </c>
      <c r="D17" s="185">
        <f>SUMIFS('Quadro Geral'!$I:$I,'Quadro Geral'!$E:$E,'Matriz de Obj. Estrat.'!$B17,'Quadro Geral'!$B:$B,"P")</f>
        <v>0</v>
      </c>
      <c r="E17" s="227">
        <f>COUNTIFS('Quadro Geral'!$E:$E,'Matriz de Obj. Estrat.'!$B17,'Quadro Geral'!$B:$B,"PE")</f>
        <v>0</v>
      </c>
      <c r="F17" s="185">
        <f>SUMIFS('Quadro Geral'!$I:$I,'Quadro Geral'!$E:$E,'Matriz de Obj. Estrat.'!$B17,'Quadro Geral'!$B:$B,"PE")</f>
        <v>0</v>
      </c>
      <c r="G17" s="227">
        <f>COUNTIFS('Quadro Geral'!$E:$E,'Matriz de Obj. Estrat.'!$B17,'Quadro Geral'!$B:$B,"A")</f>
        <v>1</v>
      </c>
      <c r="H17" s="185">
        <f>SUMIFS('Quadro Geral'!$I:$I,'Quadro Geral'!$E:$E,'Matriz de Obj. Estrat.'!$B17,'Quadro Geral'!$B:$B,"A")</f>
        <v>732417.61</v>
      </c>
      <c r="I17" s="227">
        <f t="shared" si="1"/>
        <v>1</v>
      </c>
      <c r="J17" s="185">
        <f t="shared" si="2"/>
        <v>732417.61</v>
      </c>
      <c r="K17" s="228">
        <f t="shared" si="0"/>
        <v>6.2507418256909881</v>
      </c>
      <c r="L17" s="239"/>
    </row>
    <row r="18" spans="1:12" ht="30.75" customHeight="1" x14ac:dyDescent="0.25">
      <c r="A18" s="288"/>
      <c r="B18" s="242" t="s">
        <v>31</v>
      </c>
      <c r="C18" s="227">
        <f>COUNTIFS('Quadro Geral'!$E:$E,'Matriz de Obj. Estrat.'!$B18,'Quadro Geral'!$B:$B,"P")</f>
        <v>3</v>
      </c>
      <c r="D18" s="185">
        <f>SUMIFS('Quadro Geral'!$I:$I,'Quadro Geral'!$E:$E,'Matriz de Obj. Estrat.'!$B18,'Quadro Geral'!$B:$B,"P")</f>
        <v>5440000</v>
      </c>
      <c r="E18" s="227">
        <f>COUNTIFS('Quadro Geral'!$E:$E,'Matriz de Obj. Estrat.'!$B18,'Quadro Geral'!$B:$B,"PE")</f>
        <v>0</v>
      </c>
      <c r="F18" s="185">
        <f>SUMIFS('Quadro Geral'!$I:$I,'Quadro Geral'!$E:$E,'Matriz de Obj. Estrat.'!$B18,'Quadro Geral'!$B:$B,"PE")</f>
        <v>0</v>
      </c>
      <c r="G18" s="227">
        <f>COUNTIFS('Quadro Geral'!$E:$E,'Matriz de Obj. Estrat.'!$B18,'Quadro Geral'!$B:$B,"A")</f>
        <v>0</v>
      </c>
      <c r="H18" s="185">
        <f>SUMIFS('Quadro Geral'!$I:$I,'Quadro Geral'!$E:$E,'Matriz de Obj. Estrat.'!$B18,'Quadro Geral'!$B:$B,"A")</f>
        <v>0</v>
      </c>
      <c r="I18" s="227">
        <f t="shared" si="1"/>
        <v>3</v>
      </c>
      <c r="J18" s="185">
        <f t="shared" si="2"/>
        <v>5440000</v>
      </c>
      <c r="K18" s="228">
        <f t="shared" si="0"/>
        <v>46.427113531252992</v>
      </c>
      <c r="L18" s="239"/>
    </row>
    <row r="19" spans="1:12" x14ac:dyDescent="0.25">
      <c r="A19" s="289" t="s">
        <v>6</v>
      </c>
      <c r="B19" s="289"/>
      <c r="C19" s="229">
        <f>SUM(C3:C18)</f>
        <v>9</v>
      </c>
      <c r="D19" s="230">
        <f t="shared" ref="D19:J19" si="3">SUM(D3:D18)</f>
        <v>5940000</v>
      </c>
      <c r="E19" s="229">
        <f t="shared" si="3"/>
        <v>0</v>
      </c>
      <c r="F19" s="230">
        <f t="shared" si="3"/>
        <v>0</v>
      </c>
      <c r="G19" s="229">
        <f t="shared" si="3"/>
        <v>22</v>
      </c>
      <c r="H19" s="230">
        <f t="shared" si="3"/>
        <v>5777291.0099999998</v>
      </c>
      <c r="I19" s="229">
        <f t="shared" si="3"/>
        <v>31</v>
      </c>
      <c r="J19" s="230">
        <f t="shared" si="3"/>
        <v>11717291.01</v>
      </c>
      <c r="K19" s="231">
        <f>SUM(K3:K18)</f>
        <v>100</v>
      </c>
      <c r="L19" s="243"/>
    </row>
    <row r="20" spans="1:12" x14ac:dyDescent="0.25">
      <c r="A20" s="244"/>
      <c r="B20" s="236"/>
      <c r="C20" s="232"/>
      <c r="D20" s="233"/>
      <c r="E20" s="234"/>
      <c r="F20" s="233"/>
      <c r="G20" s="234"/>
      <c r="H20" s="233"/>
      <c r="I20" s="234"/>
      <c r="J20" s="235">
        <f>'Quadro Geral'!I40</f>
        <v>11717291.01</v>
      </c>
      <c r="K20" s="236"/>
      <c r="L20" s="239"/>
    </row>
    <row r="21" spans="1:12" x14ac:dyDescent="0.25">
      <c r="A21" s="244"/>
      <c r="B21" s="236"/>
      <c r="C21" s="232"/>
      <c r="D21" s="237"/>
      <c r="E21" s="232"/>
      <c r="F21" s="237"/>
      <c r="G21" s="232"/>
      <c r="H21" s="237"/>
      <c r="I21" s="232"/>
      <c r="J21" s="238" t="b">
        <f>J20=J19</f>
        <v>1</v>
      </c>
      <c r="K21" s="263">
        <f>IFERROR(SUMIF($B$3:$B$18,$M$3,$J$3:$J$18),)+IFERROR(SUMIF($B$3:$B$18,$M$4,$J$3:$J$18),)+IFERROR(SUMIF($B$3:$B$18,$M$5,$J$3:$J$18),)</f>
        <v>356700</v>
      </c>
      <c r="L21" s="239"/>
    </row>
    <row r="25" spans="1:12" hidden="1" x14ac:dyDescent="0.25">
      <c r="A25" s="210"/>
    </row>
    <row r="26" spans="1:12" hidden="1" x14ac:dyDescent="0.25">
      <c r="A26" s="210"/>
    </row>
  </sheetData>
  <sheetProtection selectLockedCells="1"/>
  <mergeCells count="11">
    <mergeCell ref="A16:A18"/>
    <mergeCell ref="A19:B19"/>
    <mergeCell ref="E1:F1"/>
    <mergeCell ref="A1:A2"/>
    <mergeCell ref="B1:B2"/>
    <mergeCell ref="C1:D1"/>
    <mergeCell ref="G1:H1"/>
    <mergeCell ref="I1:J1"/>
    <mergeCell ref="K1:K2"/>
    <mergeCell ref="A3:A4"/>
    <mergeCell ref="A5:A15"/>
  </mergeCells>
  <conditionalFormatting sqref="C2:I2">
    <cfRule type="cellIs" dxfId="33" priority="11" operator="equal">
      <formula>"S"</formula>
    </cfRule>
    <cfRule type="cellIs" dxfId="32" priority="12" operator="equal">
      <formula>"P"</formula>
    </cfRule>
    <cfRule type="cellIs" dxfId="31" priority="13" operator="equal">
      <formula>"x"</formula>
    </cfRule>
  </conditionalFormatting>
  <conditionalFormatting sqref="J21">
    <cfRule type="cellIs" dxfId="30" priority="9" operator="equal">
      <formula>TRUE</formula>
    </cfRule>
    <cfRule type="cellIs" dxfId="29" priority="10" operator="equal">
      <formula>FALSE</formula>
    </cfRule>
  </conditionalFormatting>
  <pageMargins left="0.511811024" right="0.511811024" top="0.78740157499999996" bottom="0.78740157499999996" header="0.31496062000000002" footer="0.31496062000000002"/>
  <pageSetup scale="3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'Validação de dados'!$D$1:$D$13</xm:f>
          </x14:formula1>
          <xm:sqref>M3:M5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900"/>
  </sheetPr>
  <dimension ref="A1:U5"/>
  <sheetViews>
    <sheetView showGridLines="0" view="pageBreakPreview" zoomScale="90" zoomScaleNormal="110" zoomScaleSheetLayoutView="90" workbookViewId="0">
      <selection activeCell="M3" sqref="M3"/>
    </sheetView>
  </sheetViews>
  <sheetFormatPr defaultColWidth="0" defaultRowHeight="15.75" zeroHeight="1" x14ac:dyDescent="0.25"/>
  <cols>
    <col min="1" max="11" width="9.140625" style="2" customWidth="1"/>
    <col min="12" max="15" width="9.140625" customWidth="1"/>
    <col min="16" max="16384" width="9.140625" hidden="1"/>
  </cols>
  <sheetData>
    <row r="1" spans="1:21" s="207" customFormat="1" ht="96.75" customHeight="1" x14ac:dyDescent="0.25">
      <c r="A1" s="294" t="s">
        <v>419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06"/>
      <c r="M1" s="206"/>
      <c r="N1" s="206"/>
      <c r="O1" s="206"/>
      <c r="P1" s="206"/>
    </row>
    <row r="2" spans="1:21" ht="23.25" customHeight="1" x14ac:dyDescent="0.25">
      <c r="A2" s="292" t="s">
        <v>543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21" ht="379.5" customHeight="1" x14ac:dyDescent="0.25">
      <c r="A3" s="295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43"/>
      <c r="M3" s="44" t="s">
        <v>544</v>
      </c>
      <c r="N3" s="44"/>
      <c r="O3" s="44"/>
      <c r="P3" s="44"/>
      <c r="Q3" s="44"/>
      <c r="R3" s="44"/>
      <c r="S3" s="44"/>
      <c r="T3" s="44"/>
      <c r="U3" s="44"/>
    </row>
    <row r="4" spans="1:21" x14ac:dyDescent="0.25">
      <c r="A4" s="292" t="s">
        <v>136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1"/>
      <c r="M4" s="1"/>
      <c r="N4" s="1"/>
      <c r="O4" s="1"/>
      <c r="P4" s="1"/>
    </row>
    <row r="5" spans="1:21" ht="300" customHeight="1" x14ac:dyDescent="0.25"/>
  </sheetData>
  <mergeCells count="4">
    <mergeCell ref="A4:K4"/>
    <mergeCell ref="A1:K1"/>
    <mergeCell ref="A2:K2"/>
    <mergeCell ref="A3:K3"/>
  </mergeCells>
  <pageMargins left="0.511811024" right="0.511811024" top="0.78740157499999996" bottom="0.78740157499999996" header="0.31496062000000002" footer="0.31496062000000002"/>
  <pageSetup paperSize="9" scale="99" orientation="landscape" r:id="rId1"/>
  <rowBreaks count="1" manualBreakCount="1">
    <brk id="3" max="10" man="1"/>
  </rowBreaks>
  <drawing r:id="rId2"/>
  <legacyDrawing r:id="rId3"/>
  <oleObjects>
    <mc:AlternateContent xmlns:mc="http://schemas.openxmlformats.org/markup-compatibility/2006">
      <mc:Choice Requires="x14">
        <oleObject progId="PowerPoint.Slide.12" shapeId="40961" r:id="rId4">
          <objectPr defaultSize="0" autoPict="0" r:id="rId5">
            <anchor moveWithCells="1">
              <from>
                <xdr:col>0</xdr:col>
                <xdr:colOff>38100</xdr:colOff>
                <xdr:row>2</xdr:row>
                <xdr:rowOff>57150</xdr:rowOff>
              </from>
              <to>
                <xdr:col>11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owerPoint.Slide.12" shapeId="4096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900"/>
  </sheetPr>
  <dimension ref="A1:S126"/>
  <sheetViews>
    <sheetView showGridLines="0" topLeftCell="A94" zoomScale="80" zoomScaleNormal="80" zoomScaleSheetLayoutView="50" workbookViewId="0">
      <selection activeCell="F102" sqref="F102:F105"/>
    </sheetView>
  </sheetViews>
  <sheetFormatPr defaultColWidth="9.140625" defaultRowHeight="23.25" zeroHeight="1" x14ac:dyDescent="0.35"/>
  <cols>
    <col min="1" max="1" width="60.7109375" style="72" customWidth="1"/>
    <col min="2" max="2" width="81" style="73" customWidth="1"/>
    <col min="3" max="3" width="11.5703125" style="74" customWidth="1"/>
    <col min="4" max="4" width="16.42578125" style="73" customWidth="1"/>
    <col min="5" max="5" width="17" style="73" customWidth="1"/>
    <col min="6" max="6" width="17" style="75" customWidth="1"/>
    <col min="7" max="9" width="17" style="53" customWidth="1"/>
    <col min="10" max="16384" width="9.140625" style="51"/>
  </cols>
  <sheetData>
    <row r="1" spans="1:19" s="52" customFormat="1" ht="48" customHeight="1" x14ac:dyDescent="0.35">
      <c r="A1" s="307" t="s">
        <v>420</v>
      </c>
      <c r="B1" s="308"/>
      <c r="C1" s="308"/>
      <c r="D1" s="308"/>
      <c r="E1" s="308"/>
      <c r="F1" s="308"/>
      <c r="G1" s="118"/>
      <c r="H1" s="118"/>
      <c r="I1" s="118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52" customFormat="1" ht="45" customHeight="1" x14ac:dyDescent="0.35">
      <c r="A2" s="309" t="s">
        <v>432</v>
      </c>
      <c r="B2" s="309"/>
      <c r="C2" s="309"/>
      <c r="D2" s="309"/>
      <c r="E2" s="309"/>
      <c r="F2" s="309"/>
      <c r="G2" s="53"/>
      <c r="H2" s="53"/>
      <c r="I2" s="53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s="52" customFormat="1" ht="45" customHeight="1" x14ac:dyDescent="0.35">
      <c r="A3" s="309" t="s">
        <v>32</v>
      </c>
      <c r="B3" s="309"/>
      <c r="C3" s="309"/>
      <c r="D3" s="309"/>
      <c r="E3" s="309"/>
      <c r="F3" s="309"/>
      <c r="I3" s="425"/>
      <c r="J3" s="424"/>
      <c r="K3" s="424"/>
      <c r="L3" s="424"/>
      <c r="M3" s="424"/>
      <c r="N3" s="424"/>
      <c r="O3" s="424"/>
      <c r="P3" s="424"/>
    </row>
    <row r="4" spans="1:19" s="52" customFormat="1" ht="21" customHeight="1" x14ac:dyDescent="0.35">
      <c r="A4" s="54"/>
      <c r="B4" s="54"/>
      <c r="C4" s="54"/>
      <c r="D4" s="54"/>
      <c r="E4" s="54"/>
      <c r="F4" s="55"/>
      <c r="G4" s="53"/>
      <c r="H4" s="53"/>
      <c r="I4" s="425"/>
      <c r="J4" s="424"/>
      <c r="K4" s="424"/>
      <c r="L4" s="424"/>
      <c r="M4" s="424"/>
      <c r="N4" s="424"/>
      <c r="O4" s="424"/>
      <c r="P4" s="424"/>
    </row>
    <row r="5" spans="1:19" s="52" customFormat="1" ht="45" customHeight="1" x14ac:dyDescent="0.35">
      <c r="A5" s="334" t="s">
        <v>55</v>
      </c>
      <c r="B5" s="334"/>
      <c r="C5" s="334"/>
      <c r="D5" s="334"/>
      <c r="E5" s="334"/>
      <c r="F5" s="334"/>
      <c r="G5" s="78"/>
      <c r="H5" s="78"/>
      <c r="I5" s="425"/>
      <c r="J5" s="424"/>
      <c r="K5" s="424"/>
      <c r="L5" s="424"/>
      <c r="M5" s="424"/>
      <c r="N5" s="424"/>
      <c r="O5" s="424"/>
      <c r="P5" s="424"/>
    </row>
    <row r="6" spans="1:19" s="52" customFormat="1" ht="45" customHeight="1" x14ac:dyDescent="0.35">
      <c r="A6" s="123" t="s">
        <v>18</v>
      </c>
      <c r="B6" s="312" t="s">
        <v>52</v>
      </c>
      <c r="C6" s="312"/>
      <c r="D6" s="217" t="s">
        <v>53</v>
      </c>
      <c r="E6" s="124" t="s">
        <v>421</v>
      </c>
      <c r="F6" s="124" t="s">
        <v>422</v>
      </c>
      <c r="G6" s="78"/>
      <c r="H6" s="78"/>
      <c r="I6" s="425"/>
      <c r="J6" s="424"/>
      <c r="K6" s="424"/>
      <c r="L6" s="424"/>
      <c r="M6" s="424"/>
      <c r="N6" s="424"/>
      <c r="O6" s="424"/>
      <c r="P6" s="424"/>
    </row>
    <row r="7" spans="1:19" s="52" customFormat="1" ht="30.75" customHeight="1" x14ac:dyDescent="0.35">
      <c r="A7" s="328" t="s">
        <v>227</v>
      </c>
      <c r="B7" s="57" t="s">
        <v>157</v>
      </c>
      <c r="C7" s="327" t="s">
        <v>77</v>
      </c>
      <c r="D7" s="327" t="s">
        <v>72</v>
      </c>
      <c r="E7" s="299"/>
      <c r="F7" s="305"/>
      <c r="G7" s="337"/>
      <c r="H7" s="258"/>
      <c r="I7" s="306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s="52" customFormat="1" ht="30.75" customHeight="1" x14ac:dyDescent="0.35">
      <c r="A8" s="328"/>
      <c r="B8" s="58" t="s">
        <v>158</v>
      </c>
      <c r="C8" s="327"/>
      <c r="D8" s="327"/>
      <c r="E8" s="299"/>
      <c r="F8" s="305"/>
      <c r="G8" s="337"/>
      <c r="H8" s="258"/>
      <c r="I8" s="306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s="52" customFormat="1" ht="24" customHeight="1" x14ac:dyDescent="0.35">
      <c r="A9" s="56"/>
      <c r="B9" s="54"/>
      <c r="C9" s="54"/>
      <c r="D9" s="54"/>
      <c r="E9" s="54"/>
      <c r="F9" s="55"/>
      <c r="G9" s="78"/>
      <c r="H9" s="78"/>
      <c r="I9" s="78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s="52" customFormat="1" ht="45" customHeight="1" x14ac:dyDescent="0.35">
      <c r="A10" s="334" t="s">
        <v>54</v>
      </c>
      <c r="B10" s="334"/>
      <c r="C10" s="334"/>
      <c r="D10" s="334"/>
      <c r="E10" s="334"/>
      <c r="F10" s="334"/>
      <c r="G10" s="78"/>
      <c r="H10" s="78"/>
      <c r="I10" s="78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s="52" customFormat="1" ht="45" customHeight="1" x14ac:dyDescent="0.35">
      <c r="A11" s="123" t="s">
        <v>19</v>
      </c>
      <c r="B11" s="312" t="s">
        <v>52</v>
      </c>
      <c r="C11" s="312"/>
      <c r="D11" s="124" t="s">
        <v>53</v>
      </c>
      <c r="E11" s="124" t="str">
        <f>$E$6</f>
        <v>Meta
2023</v>
      </c>
      <c r="F11" s="124" t="str">
        <f>$F$6</f>
        <v>Meta
2024</v>
      </c>
      <c r="G11" s="78"/>
      <c r="H11" s="78"/>
      <c r="I11" s="78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s="52" customFormat="1" ht="34.5" customHeight="1" x14ac:dyDescent="0.35">
      <c r="A12" s="328" t="s">
        <v>228</v>
      </c>
      <c r="B12" s="57" t="s">
        <v>159</v>
      </c>
      <c r="C12" s="327" t="s">
        <v>77</v>
      </c>
      <c r="D12" s="327" t="s">
        <v>160</v>
      </c>
      <c r="E12" s="310">
        <v>0.2</v>
      </c>
      <c r="F12" s="305">
        <v>0.5</v>
      </c>
      <c r="G12" s="306"/>
      <c r="H12" s="255"/>
      <c r="I12" s="306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s="52" customFormat="1" ht="34.5" customHeight="1" x14ac:dyDescent="0.35">
      <c r="A13" s="328"/>
      <c r="B13" s="58" t="s">
        <v>161</v>
      </c>
      <c r="C13" s="327"/>
      <c r="D13" s="327"/>
      <c r="E13" s="311"/>
      <c r="F13" s="305"/>
      <c r="G13" s="306"/>
      <c r="H13" s="255"/>
      <c r="I13" s="306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s="52" customFormat="1" ht="34.5" customHeight="1" x14ac:dyDescent="0.35">
      <c r="A14" s="328" t="s">
        <v>229</v>
      </c>
      <c r="B14" s="57" t="s">
        <v>162</v>
      </c>
      <c r="C14" s="327" t="s">
        <v>77</v>
      </c>
      <c r="D14" s="327" t="s">
        <v>160</v>
      </c>
      <c r="E14" s="310"/>
      <c r="F14" s="305"/>
      <c r="G14" s="306"/>
      <c r="H14" s="255"/>
      <c r="I14" s="306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s="52" customFormat="1" ht="34.5" customHeight="1" x14ac:dyDescent="0.35">
      <c r="A15" s="328"/>
      <c r="B15" s="58" t="s">
        <v>163</v>
      </c>
      <c r="C15" s="327"/>
      <c r="D15" s="327"/>
      <c r="E15" s="311"/>
      <c r="F15" s="305"/>
      <c r="G15" s="306"/>
      <c r="H15" s="255"/>
      <c r="I15" s="306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s="52" customFormat="1" ht="34.5" customHeight="1" x14ac:dyDescent="0.35">
      <c r="A16" s="328" t="s">
        <v>230</v>
      </c>
      <c r="B16" s="329" t="s">
        <v>164</v>
      </c>
      <c r="C16" s="329"/>
      <c r="D16" s="327" t="s">
        <v>160</v>
      </c>
      <c r="E16" s="332">
        <v>0.26079545454545455</v>
      </c>
      <c r="F16" s="330">
        <v>0.25</v>
      </c>
      <c r="G16" s="306"/>
      <c r="H16" s="256"/>
      <c r="I16" s="338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s="52" customFormat="1" ht="34.5" customHeight="1" x14ac:dyDescent="0.35">
      <c r="A17" s="328"/>
      <c r="B17" s="331" t="s">
        <v>165</v>
      </c>
      <c r="C17" s="331"/>
      <c r="D17" s="327"/>
      <c r="E17" s="333"/>
      <c r="F17" s="330"/>
      <c r="G17" s="306"/>
      <c r="H17" s="256"/>
      <c r="I17" s="338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s="52" customFormat="1" ht="34.5" customHeight="1" x14ac:dyDescent="0.35">
      <c r="A18" s="328" t="s">
        <v>231</v>
      </c>
      <c r="B18" s="57" t="s">
        <v>166</v>
      </c>
      <c r="C18" s="327" t="s">
        <v>77</v>
      </c>
      <c r="D18" s="327" t="s">
        <v>160</v>
      </c>
      <c r="E18" s="310">
        <v>0.7</v>
      </c>
      <c r="F18" s="305">
        <v>0.7</v>
      </c>
      <c r="G18" s="306"/>
      <c r="H18" s="255"/>
      <c r="I18" s="306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s="52" customFormat="1" ht="34.5" customHeight="1" x14ac:dyDescent="0.35">
      <c r="A19" s="328"/>
      <c r="B19" s="58" t="s">
        <v>167</v>
      </c>
      <c r="C19" s="327"/>
      <c r="D19" s="327"/>
      <c r="E19" s="311"/>
      <c r="F19" s="305"/>
      <c r="G19" s="306"/>
      <c r="H19" s="255"/>
      <c r="I19" s="306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s="52" customFormat="1" ht="34.5" customHeight="1" x14ac:dyDescent="0.35">
      <c r="A20" s="328" t="s">
        <v>232</v>
      </c>
      <c r="B20" s="57" t="s">
        <v>168</v>
      </c>
      <c r="C20" s="327" t="s">
        <v>77</v>
      </c>
      <c r="D20" s="327" t="s">
        <v>79</v>
      </c>
      <c r="E20" s="310">
        <v>0.22</v>
      </c>
      <c r="F20" s="305">
        <v>0.22</v>
      </c>
      <c r="G20" s="306"/>
      <c r="H20" s="255"/>
      <c r="I20" s="306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s="52" customFormat="1" ht="34.5" customHeight="1" x14ac:dyDescent="0.35">
      <c r="A21" s="328"/>
      <c r="B21" s="58" t="s">
        <v>169</v>
      </c>
      <c r="C21" s="327"/>
      <c r="D21" s="327"/>
      <c r="E21" s="311"/>
      <c r="F21" s="305"/>
      <c r="G21" s="306"/>
      <c r="H21" s="255"/>
      <c r="I21" s="306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s="52" customFormat="1" ht="34.5" customHeight="1" x14ac:dyDescent="0.35">
      <c r="A22" s="328" t="s">
        <v>233</v>
      </c>
      <c r="B22" s="57" t="s">
        <v>170</v>
      </c>
      <c r="C22" s="327" t="s">
        <v>77</v>
      </c>
      <c r="D22" s="327" t="s">
        <v>79</v>
      </c>
      <c r="E22" s="310">
        <v>0.05</v>
      </c>
      <c r="F22" s="305">
        <v>0.5</v>
      </c>
      <c r="G22" s="306"/>
      <c r="H22" s="255"/>
      <c r="I22" s="306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s="52" customFormat="1" ht="34.5" customHeight="1" x14ac:dyDescent="0.35">
      <c r="A23" s="328"/>
      <c r="B23" s="58" t="s">
        <v>171</v>
      </c>
      <c r="C23" s="327"/>
      <c r="D23" s="327"/>
      <c r="E23" s="311"/>
      <c r="F23" s="305"/>
      <c r="G23" s="306"/>
      <c r="H23" s="255"/>
      <c r="I23" s="306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s="52" customFormat="1" ht="34.5" customHeight="1" x14ac:dyDescent="0.35">
      <c r="A24" s="328" t="s">
        <v>234</v>
      </c>
      <c r="B24" s="57" t="s">
        <v>172</v>
      </c>
      <c r="C24" s="327" t="s">
        <v>77</v>
      </c>
      <c r="D24" s="327" t="s">
        <v>78</v>
      </c>
      <c r="E24" s="310">
        <v>7.0000000000000007E-2</v>
      </c>
      <c r="F24" s="305">
        <v>0.2</v>
      </c>
      <c r="G24" s="306"/>
      <c r="H24" s="255"/>
      <c r="I24" s="306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s="52" customFormat="1" ht="34.5" customHeight="1" x14ac:dyDescent="0.35">
      <c r="A25" s="328"/>
      <c r="B25" s="58" t="s">
        <v>173</v>
      </c>
      <c r="C25" s="327"/>
      <c r="D25" s="327"/>
      <c r="E25" s="311"/>
      <c r="F25" s="305"/>
      <c r="G25" s="306"/>
      <c r="H25" s="255"/>
      <c r="I25" s="306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s="52" customFormat="1" ht="34.5" customHeight="1" x14ac:dyDescent="0.35">
      <c r="A26" s="328" t="s">
        <v>235</v>
      </c>
      <c r="B26" s="57" t="s">
        <v>174</v>
      </c>
      <c r="C26" s="327" t="s">
        <v>77</v>
      </c>
      <c r="D26" s="327" t="s">
        <v>78</v>
      </c>
      <c r="E26" s="310">
        <v>0.3</v>
      </c>
      <c r="F26" s="305">
        <v>0.35</v>
      </c>
      <c r="G26" s="306"/>
      <c r="H26" s="255"/>
      <c r="I26" s="306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s="52" customFormat="1" ht="34.5" customHeight="1" x14ac:dyDescent="0.35">
      <c r="A27" s="328"/>
      <c r="B27" s="58" t="s">
        <v>162</v>
      </c>
      <c r="C27" s="327"/>
      <c r="D27" s="327"/>
      <c r="E27" s="311"/>
      <c r="F27" s="305"/>
      <c r="G27" s="306"/>
      <c r="H27" s="255"/>
      <c r="I27" s="306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s="52" customFormat="1" ht="34.5" customHeight="1" x14ac:dyDescent="0.35">
      <c r="A28" s="328" t="s">
        <v>236</v>
      </c>
      <c r="B28" s="57" t="s">
        <v>175</v>
      </c>
      <c r="C28" s="327" t="s">
        <v>77</v>
      </c>
      <c r="D28" s="327" t="s">
        <v>78</v>
      </c>
      <c r="E28" s="310">
        <v>0.38</v>
      </c>
      <c r="F28" s="305">
        <v>0.38</v>
      </c>
      <c r="G28" s="306"/>
      <c r="H28" s="255"/>
      <c r="I28" s="306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s="52" customFormat="1" ht="34.5" customHeight="1" x14ac:dyDescent="0.35">
      <c r="A29" s="328"/>
      <c r="B29" s="58" t="s">
        <v>163</v>
      </c>
      <c r="C29" s="327"/>
      <c r="D29" s="327"/>
      <c r="E29" s="311"/>
      <c r="F29" s="305"/>
      <c r="G29" s="306"/>
      <c r="H29" s="255"/>
      <c r="I29" s="306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s="52" customFormat="1" ht="34.5" customHeight="1" x14ac:dyDescent="0.35">
      <c r="A30" s="328" t="s">
        <v>237</v>
      </c>
      <c r="B30" s="57" t="s">
        <v>176</v>
      </c>
      <c r="C30" s="327" t="s">
        <v>77</v>
      </c>
      <c r="D30" s="327" t="s">
        <v>78</v>
      </c>
      <c r="E30" s="310">
        <v>0.32</v>
      </c>
      <c r="F30" s="426"/>
      <c r="G30" s="306"/>
      <c r="H30" s="255"/>
      <c r="I30" s="306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s="52" customFormat="1" ht="34.5" customHeight="1" x14ac:dyDescent="0.35">
      <c r="A31" s="328"/>
      <c r="B31" s="58" t="s">
        <v>177</v>
      </c>
      <c r="C31" s="327"/>
      <c r="D31" s="327"/>
      <c r="E31" s="311"/>
      <c r="F31" s="426"/>
      <c r="G31" s="306"/>
      <c r="H31" s="255"/>
      <c r="I31" s="306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s="122" customFormat="1" ht="45" customHeight="1" x14ac:dyDescent="0.35">
      <c r="A32" s="123" t="s">
        <v>20</v>
      </c>
      <c r="B32" s="312" t="s">
        <v>52</v>
      </c>
      <c r="C32" s="312"/>
      <c r="D32" s="124" t="s">
        <v>53</v>
      </c>
      <c r="E32" s="124" t="str">
        <f>$E$6</f>
        <v>Meta
2023</v>
      </c>
      <c r="F32" s="124" t="str">
        <f>$F$6</f>
        <v>Meta
2024</v>
      </c>
      <c r="G32" s="79"/>
      <c r="H32" s="79"/>
      <c r="I32" s="79"/>
    </row>
    <row r="33" spans="1:19" s="52" customFormat="1" ht="34.5" customHeight="1" x14ac:dyDescent="0.35">
      <c r="A33" s="328" t="s">
        <v>238</v>
      </c>
      <c r="B33" s="57" t="s">
        <v>223</v>
      </c>
      <c r="C33" s="327" t="s">
        <v>77</v>
      </c>
      <c r="D33" s="327" t="s">
        <v>73</v>
      </c>
      <c r="E33" s="301">
        <v>0.9</v>
      </c>
      <c r="F33" s="305">
        <v>0.9</v>
      </c>
      <c r="G33" s="306"/>
      <c r="H33" s="255"/>
      <c r="I33" s="306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s="52" customFormat="1" ht="34.5" customHeight="1" x14ac:dyDescent="0.35">
      <c r="A34" s="328"/>
      <c r="B34" s="58" t="s">
        <v>224</v>
      </c>
      <c r="C34" s="327"/>
      <c r="D34" s="327"/>
      <c r="E34" s="301"/>
      <c r="F34" s="305"/>
      <c r="G34" s="306"/>
      <c r="H34" s="255"/>
      <c r="I34" s="306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s="52" customFormat="1" ht="34.5" customHeight="1" x14ac:dyDescent="0.35">
      <c r="A35" s="328" t="s">
        <v>239</v>
      </c>
      <c r="B35" s="57" t="s">
        <v>80</v>
      </c>
      <c r="C35" s="327" t="s">
        <v>77</v>
      </c>
      <c r="D35" s="327" t="s">
        <v>73</v>
      </c>
      <c r="E35" s="301">
        <v>0.95</v>
      </c>
      <c r="F35" s="305">
        <v>0.9</v>
      </c>
      <c r="G35" s="306"/>
      <c r="H35" s="255"/>
      <c r="I35" s="306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s="52" customFormat="1" ht="34.5" customHeight="1" x14ac:dyDescent="0.35">
      <c r="A36" s="328"/>
      <c r="B36" s="58" t="s">
        <v>81</v>
      </c>
      <c r="C36" s="327"/>
      <c r="D36" s="327"/>
      <c r="E36" s="301"/>
      <c r="F36" s="305"/>
      <c r="G36" s="306"/>
      <c r="H36" s="255"/>
      <c r="I36" s="306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s="52" customFormat="1" ht="34.5" customHeight="1" x14ac:dyDescent="0.35">
      <c r="A37" s="328" t="s">
        <v>240</v>
      </c>
      <c r="B37" s="57" t="s">
        <v>178</v>
      </c>
      <c r="C37" s="327" t="s">
        <v>77</v>
      </c>
      <c r="D37" s="327" t="s">
        <v>73</v>
      </c>
      <c r="E37" s="301">
        <v>0.8</v>
      </c>
      <c r="F37" s="305">
        <v>0.8</v>
      </c>
      <c r="G37" s="306"/>
      <c r="H37" s="255"/>
      <c r="I37" s="306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s="52" customFormat="1" ht="34.5" customHeight="1" x14ac:dyDescent="0.35">
      <c r="A38" s="328"/>
      <c r="B38" s="58" t="s">
        <v>179</v>
      </c>
      <c r="C38" s="327"/>
      <c r="D38" s="327"/>
      <c r="E38" s="301"/>
      <c r="F38" s="305"/>
      <c r="G38" s="306"/>
      <c r="H38" s="255"/>
      <c r="I38" s="306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s="52" customFormat="1" ht="45" customHeight="1" x14ac:dyDescent="0.35">
      <c r="A39" s="123" t="s">
        <v>21</v>
      </c>
      <c r="B39" s="312" t="s">
        <v>52</v>
      </c>
      <c r="C39" s="312"/>
      <c r="D39" s="124" t="s">
        <v>53</v>
      </c>
      <c r="E39" s="124" t="str">
        <f>$E$6</f>
        <v>Meta
2023</v>
      </c>
      <c r="F39" s="124" t="str">
        <f>$F$6</f>
        <v>Meta
2024</v>
      </c>
      <c r="G39" s="79"/>
      <c r="H39" s="79"/>
      <c r="I39" s="79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s="52" customFormat="1" ht="34.5" customHeight="1" x14ac:dyDescent="0.35">
      <c r="A40" s="313" t="s">
        <v>241</v>
      </c>
      <c r="B40" s="59" t="s">
        <v>180</v>
      </c>
      <c r="C40" s="327" t="s">
        <v>77</v>
      </c>
      <c r="D40" s="314" t="s">
        <v>181</v>
      </c>
      <c r="E40" s="299">
        <v>1</v>
      </c>
      <c r="F40" s="305">
        <v>1</v>
      </c>
      <c r="G40" s="306"/>
      <c r="H40" s="255"/>
      <c r="I40" s="306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s="52" customFormat="1" ht="34.5" customHeight="1" x14ac:dyDescent="0.35">
      <c r="A41" s="313"/>
      <c r="B41" s="60" t="s">
        <v>182</v>
      </c>
      <c r="C41" s="327"/>
      <c r="D41" s="314"/>
      <c r="E41" s="299"/>
      <c r="F41" s="305"/>
      <c r="G41" s="306"/>
      <c r="H41" s="255"/>
      <c r="I41" s="306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s="52" customFormat="1" ht="34.5" customHeight="1" x14ac:dyDescent="0.35">
      <c r="A42" s="313" t="s">
        <v>242</v>
      </c>
      <c r="B42" s="59" t="s">
        <v>183</v>
      </c>
      <c r="C42" s="327" t="s">
        <v>77</v>
      </c>
      <c r="D42" s="314" t="s">
        <v>79</v>
      </c>
      <c r="E42" s="299"/>
      <c r="F42" s="305"/>
      <c r="G42" s="306"/>
      <c r="H42" s="255"/>
      <c r="I42" s="306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s="52" customFormat="1" ht="34.5" customHeight="1" x14ac:dyDescent="0.35">
      <c r="A43" s="313"/>
      <c r="B43" s="60" t="s">
        <v>184</v>
      </c>
      <c r="C43" s="327"/>
      <c r="D43" s="314"/>
      <c r="E43" s="299"/>
      <c r="F43" s="305"/>
      <c r="G43" s="306"/>
      <c r="H43" s="255"/>
      <c r="I43" s="306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s="52" customFormat="1" ht="34.5" customHeight="1" x14ac:dyDescent="0.35">
      <c r="A44" s="313" t="s">
        <v>243</v>
      </c>
      <c r="B44" s="316" t="s">
        <v>185</v>
      </c>
      <c r="C44" s="316"/>
      <c r="D44" s="314" t="s">
        <v>79</v>
      </c>
      <c r="E44" s="326"/>
      <c r="F44" s="325"/>
      <c r="G44" s="306"/>
      <c r="H44" s="257"/>
      <c r="I44" s="339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19" s="52" customFormat="1" ht="34.5" customHeight="1" x14ac:dyDescent="0.35">
      <c r="A45" s="313"/>
      <c r="B45" s="318" t="s">
        <v>186</v>
      </c>
      <c r="C45" s="318"/>
      <c r="D45" s="314"/>
      <c r="E45" s="326"/>
      <c r="F45" s="325"/>
      <c r="G45" s="306"/>
      <c r="H45" s="257"/>
      <c r="I45" s="339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19" s="52" customFormat="1" ht="34.5" customHeight="1" x14ac:dyDescent="0.35">
      <c r="A46" s="313" t="s">
        <v>244</v>
      </c>
      <c r="B46" s="59" t="s">
        <v>187</v>
      </c>
      <c r="C46" s="315" t="s">
        <v>77</v>
      </c>
      <c r="D46" s="314" t="s">
        <v>79</v>
      </c>
      <c r="E46" s="299"/>
      <c r="F46" s="305"/>
      <c r="G46" s="306"/>
      <c r="H46" s="255"/>
      <c r="I46" s="306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19" ht="34.5" customHeight="1" x14ac:dyDescent="0.35">
      <c r="A47" s="313"/>
      <c r="B47" s="60" t="s">
        <v>188</v>
      </c>
      <c r="C47" s="315"/>
      <c r="D47" s="314"/>
      <c r="E47" s="299"/>
      <c r="F47" s="305"/>
      <c r="G47" s="306"/>
      <c r="H47" s="255"/>
      <c r="I47" s="306"/>
    </row>
    <row r="48" spans="1:19" s="52" customFormat="1" ht="45" customHeight="1" x14ac:dyDescent="0.35">
      <c r="A48" s="123" t="s">
        <v>22</v>
      </c>
      <c r="B48" s="312" t="s">
        <v>52</v>
      </c>
      <c r="C48" s="312"/>
      <c r="D48" s="124" t="s">
        <v>53</v>
      </c>
      <c r="E48" s="124" t="str">
        <f>$E$6</f>
        <v>Meta
2023</v>
      </c>
      <c r="F48" s="124" t="str">
        <f>$F$6</f>
        <v>Meta
2024</v>
      </c>
      <c r="G48" s="79"/>
      <c r="H48" s="79"/>
      <c r="I48" s="79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53.25" customHeight="1" x14ac:dyDescent="0.35">
      <c r="A49" s="61" t="s">
        <v>245</v>
      </c>
      <c r="B49" s="324" t="s">
        <v>189</v>
      </c>
      <c r="C49" s="324"/>
      <c r="D49" s="62" t="s">
        <v>72</v>
      </c>
      <c r="E49" s="213"/>
      <c r="F49" s="214"/>
      <c r="G49" s="80"/>
      <c r="H49" s="80"/>
      <c r="I49" s="81"/>
    </row>
    <row r="50" spans="1:19" s="52" customFormat="1" ht="45" customHeight="1" x14ac:dyDescent="0.35">
      <c r="A50" s="123" t="s">
        <v>23</v>
      </c>
      <c r="B50" s="312" t="s">
        <v>52</v>
      </c>
      <c r="C50" s="312"/>
      <c r="D50" s="124" t="s">
        <v>53</v>
      </c>
      <c r="E50" s="124" t="str">
        <f>$E$6</f>
        <v>Meta
2023</v>
      </c>
      <c r="F50" s="124" t="str">
        <f>$F$6</f>
        <v>Meta
2024</v>
      </c>
      <c r="G50" s="79"/>
      <c r="H50" s="79"/>
      <c r="I50" s="79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34.5" customHeight="1" x14ac:dyDescent="0.35">
      <c r="A51" s="313" t="s">
        <v>246</v>
      </c>
      <c r="B51" s="59" t="s">
        <v>190</v>
      </c>
      <c r="C51" s="315" t="s">
        <v>77</v>
      </c>
      <c r="D51" s="315" t="s">
        <v>72</v>
      </c>
      <c r="E51" s="299"/>
      <c r="F51" s="305"/>
      <c r="G51" s="306"/>
      <c r="H51" s="255"/>
      <c r="I51" s="306"/>
    </row>
    <row r="52" spans="1:19" ht="34.5" customHeight="1" x14ac:dyDescent="0.35">
      <c r="A52" s="313"/>
      <c r="B52" s="60" t="s">
        <v>158</v>
      </c>
      <c r="C52" s="315"/>
      <c r="D52" s="315"/>
      <c r="E52" s="299"/>
      <c r="F52" s="305"/>
      <c r="G52" s="306"/>
      <c r="H52" s="255"/>
      <c r="I52" s="306"/>
    </row>
    <row r="53" spans="1:19" ht="34.5" customHeight="1" x14ac:dyDescent="0.35">
      <c r="A53" s="313" t="s">
        <v>247</v>
      </c>
      <c r="B53" s="59" t="s">
        <v>189</v>
      </c>
      <c r="C53" s="315" t="s">
        <v>77</v>
      </c>
      <c r="D53" s="315" t="s">
        <v>72</v>
      </c>
      <c r="E53" s="299">
        <v>0.02</v>
      </c>
      <c r="F53" s="305">
        <v>0.01</v>
      </c>
      <c r="G53" s="306"/>
      <c r="H53" s="255"/>
      <c r="I53" s="306"/>
    </row>
    <row r="54" spans="1:19" ht="34.5" customHeight="1" x14ac:dyDescent="0.35">
      <c r="A54" s="313"/>
      <c r="B54" s="60" t="s">
        <v>158</v>
      </c>
      <c r="C54" s="315"/>
      <c r="D54" s="315"/>
      <c r="E54" s="299"/>
      <c r="F54" s="305"/>
      <c r="G54" s="306"/>
      <c r="H54" s="255"/>
      <c r="I54" s="306"/>
    </row>
    <row r="55" spans="1:19" s="125" customFormat="1" ht="45" customHeight="1" x14ac:dyDescent="0.35">
      <c r="A55" s="123" t="s">
        <v>24</v>
      </c>
      <c r="B55" s="312" t="s">
        <v>52</v>
      </c>
      <c r="C55" s="312"/>
      <c r="D55" s="124" t="s">
        <v>53</v>
      </c>
      <c r="E55" s="124" t="str">
        <f>$E$6</f>
        <v>Meta
2023</v>
      </c>
      <c r="F55" s="124" t="str">
        <f>$F$6</f>
        <v>Meta
2024</v>
      </c>
      <c r="G55" s="79"/>
      <c r="H55" s="79"/>
      <c r="I55" s="79"/>
    </row>
    <row r="56" spans="1:19" s="52" customFormat="1" ht="34.5" customHeight="1" x14ac:dyDescent="0.35">
      <c r="A56" s="63" t="s">
        <v>248</v>
      </c>
      <c r="B56" s="315" t="s">
        <v>191</v>
      </c>
      <c r="C56" s="315"/>
      <c r="D56" s="64" t="s">
        <v>160</v>
      </c>
      <c r="E56" s="69">
        <v>65000</v>
      </c>
      <c r="F56" s="70">
        <v>65000</v>
      </c>
      <c r="G56" s="82"/>
      <c r="H56" s="82"/>
      <c r="I56" s="82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s="52" customFormat="1" ht="34.5" customHeight="1" x14ac:dyDescent="0.35">
      <c r="A57" s="313" t="s">
        <v>249</v>
      </c>
      <c r="B57" s="59" t="s">
        <v>192</v>
      </c>
      <c r="C57" s="315" t="s">
        <v>77</v>
      </c>
      <c r="D57" s="315" t="s">
        <v>73</v>
      </c>
      <c r="E57" s="299"/>
      <c r="F57" s="305"/>
      <c r="G57" s="306"/>
      <c r="H57" s="255"/>
      <c r="I57" s="306"/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s="52" customFormat="1" ht="34.5" customHeight="1" x14ac:dyDescent="0.35">
      <c r="A58" s="313"/>
      <c r="B58" s="60" t="s">
        <v>82</v>
      </c>
      <c r="C58" s="315"/>
      <c r="D58" s="315"/>
      <c r="E58" s="299"/>
      <c r="F58" s="305"/>
      <c r="G58" s="306"/>
      <c r="H58" s="255"/>
      <c r="I58" s="306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s="52" customFormat="1" ht="34.5" customHeight="1" x14ac:dyDescent="0.35">
      <c r="A59" s="313" t="s">
        <v>250</v>
      </c>
      <c r="B59" s="59" t="s">
        <v>193</v>
      </c>
      <c r="C59" s="315" t="s">
        <v>77</v>
      </c>
      <c r="D59" s="315" t="s">
        <v>73</v>
      </c>
      <c r="E59" s="299"/>
      <c r="F59" s="305"/>
      <c r="G59" s="306"/>
      <c r="H59" s="255"/>
      <c r="I59" s="306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s="52" customFormat="1" ht="34.5" customHeight="1" x14ac:dyDescent="0.35">
      <c r="A60" s="313"/>
      <c r="B60" s="60" t="s">
        <v>83</v>
      </c>
      <c r="C60" s="315"/>
      <c r="D60" s="315"/>
      <c r="E60" s="299"/>
      <c r="F60" s="305"/>
      <c r="G60" s="306"/>
      <c r="H60" s="255"/>
      <c r="I60" s="306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s="52" customFormat="1" ht="34.5" customHeight="1" x14ac:dyDescent="0.35">
      <c r="A61" s="63" t="s">
        <v>194</v>
      </c>
      <c r="B61" s="315" t="s">
        <v>195</v>
      </c>
      <c r="C61" s="315"/>
      <c r="D61" s="64" t="s">
        <v>79</v>
      </c>
      <c r="E61" s="69">
        <v>150000</v>
      </c>
      <c r="F61" s="69">
        <v>170000</v>
      </c>
      <c r="G61" s="82"/>
      <c r="H61" s="82"/>
      <c r="I61" s="82"/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s="52" customFormat="1" ht="45" customHeight="1" x14ac:dyDescent="0.35">
      <c r="A62" s="123" t="s">
        <v>25</v>
      </c>
      <c r="B62" s="312" t="s">
        <v>52</v>
      </c>
      <c r="C62" s="312"/>
      <c r="D62" s="124" t="s">
        <v>53</v>
      </c>
      <c r="E62" s="124" t="str">
        <f>$E$6</f>
        <v>Meta
2023</v>
      </c>
      <c r="F62" s="124" t="str">
        <f>$F$6</f>
        <v>Meta
2024</v>
      </c>
      <c r="G62" s="79"/>
      <c r="H62" s="79"/>
      <c r="I62" s="79"/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s="52" customFormat="1" ht="34.5" customHeight="1" x14ac:dyDescent="0.35">
      <c r="A63" s="322" t="s">
        <v>251</v>
      </c>
      <c r="B63" s="65" t="s">
        <v>196</v>
      </c>
      <c r="C63" s="315" t="s">
        <v>77</v>
      </c>
      <c r="D63" s="315" t="s">
        <v>72</v>
      </c>
      <c r="E63" s="323">
        <v>0.5</v>
      </c>
      <c r="F63" s="305">
        <v>0.5</v>
      </c>
      <c r="G63" s="306"/>
      <c r="H63" s="255"/>
      <c r="I63" s="306"/>
      <c r="J63" s="51"/>
      <c r="K63" s="51"/>
      <c r="L63" s="51"/>
      <c r="M63" s="51"/>
      <c r="N63" s="51"/>
      <c r="O63" s="51"/>
      <c r="P63" s="51"/>
      <c r="Q63" s="51"/>
      <c r="R63" s="51"/>
      <c r="S63" s="51"/>
    </row>
    <row r="64" spans="1:19" s="52" customFormat="1" ht="34.5" customHeight="1" x14ac:dyDescent="0.35">
      <c r="A64" s="322"/>
      <c r="B64" s="66" t="s">
        <v>197</v>
      </c>
      <c r="C64" s="315"/>
      <c r="D64" s="315"/>
      <c r="E64" s="323"/>
      <c r="F64" s="305"/>
      <c r="G64" s="306"/>
      <c r="H64" s="255"/>
      <c r="I64" s="306"/>
      <c r="J64" s="51"/>
      <c r="K64" s="51"/>
      <c r="L64" s="51"/>
      <c r="M64" s="51"/>
      <c r="N64" s="51"/>
      <c r="O64" s="51"/>
      <c r="P64" s="51"/>
      <c r="Q64" s="51"/>
      <c r="R64" s="51"/>
      <c r="S64" s="51"/>
    </row>
    <row r="65" spans="1:19" s="52" customFormat="1" ht="34.5" customHeight="1" x14ac:dyDescent="0.35">
      <c r="A65" s="320" t="s">
        <v>252</v>
      </c>
      <c r="B65" s="67" t="s">
        <v>150</v>
      </c>
      <c r="C65" s="315" t="s">
        <v>77</v>
      </c>
      <c r="D65" s="315" t="s">
        <v>72</v>
      </c>
      <c r="E65" s="301">
        <v>0.5</v>
      </c>
      <c r="F65" s="305">
        <v>0.5</v>
      </c>
      <c r="G65" s="306"/>
      <c r="H65" s="255"/>
      <c r="I65" s="306"/>
      <c r="J65" s="51"/>
      <c r="K65" s="51"/>
      <c r="L65" s="51"/>
      <c r="M65" s="51"/>
      <c r="N65" s="51"/>
      <c r="O65" s="51"/>
      <c r="P65" s="51"/>
      <c r="Q65" s="51"/>
      <c r="R65" s="51"/>
      <c r="S65" s="51"/>
    </row>
    <row r="66" spans="1:19" s="52" customFormat="1" ht="34.5" customHeight="1" x14ac:dyDescent="0.35">
      <c r="A66" s="320"/>
      <c r="B66" s="68" t="s">
        <v>198</v>
      </c>
      <c r="C66" s="315"/>
      <c r="D66" s="315"/>
      <c r="E66" s="301"/>
      <c r="F66" s="305"/>
      <c r="G66" s="306"/>
      <c r="H66" s="255"/>
      <c r="I66" s="306"/>
      <c r="J66" s="51"/>
      <c r="K66" s="51"/>
      <c r="L66" s="51"/>
      <c r="M66" s="51"/>
      <c r="N66" s="51"/>
      <c r="O66" s="51"/>
      <c r="P66" s="51"/>
      <c r="Q66" s="51"/>
      <c r="R66" s="51"/>
      <c r="S66" s="51"/>
    </row>
    <row r="67" spans="1:19" s="52" customFormat="1" ht="34.5" customHeight="1" x14ac:dyDescent="0.35">
      <c r="A67" s="313" t="s">
        <v>253</v>
      </c>
      <c r="B67" s="316" t="s">
        <v>199</v>
      </c>
      <c r="C67" s="316"/>
      <c r="D67" s="315" t="s">
        <v>79</v>
      </c>
      <c r="E67" s="300">
        <v>0.6</v>
      </c>
      <c r="F67" s="321">
        <v>6</v>
      </c>
      <c r="G67" s="306"/>
      <c r="H67" s="256"/>
      <c r="I67" s="338"/>
      <c r="J67" s="51"/>
      <c r="K67" s="51"/>
      <c r="L67" s="51"/>
      <c r="M67" s="51"/>
      <c r="N67" s="51"/>
      <c r="O67" s="51"/>
      <c r="P67" s="51"/>
      <c r="Q67" s="51"/>
      <c r="R67" s="51"/>
      <c r="S67" s="51"/>
    </row>
    <row r="68" spans="1:19" s="52" customFormat="1" ht="34.5" customHeight="1" x14ac:dyDescent="0.35">
      <c r="A68" s="313"/>
      <c r="B68" s="318" t="s">
        <v>200</v>
      </c>
      <c r="C68" s="318"/>
      <c r="D68" s="315"/>
      <c r="E68" s="300"/>
      <c r="F68" s="321"/>
      <c r="G68" s="306"/>
      <c r="H68" s="256"/>
      <c r="I68" s="338"/>
      <c r="J68" s="51"/>
      <c r="K68" s="51"/>
      <c r="L68" s="51"/>
      <c r="M68" s="51"/>
      <c r="N68" s="51"/>
      <c r="O68" s="51"/>
      <c r="P68" s="51"/>
      <c r="Q68" s="51"/>
      <c r="R68" s="51"/>
      <c r="S68" s="51"/>
    </row>
    <row r="69" spans="1:19" s="122" customFormat="1" ht="45" customHeight="1" x14ac:dyDescent="0.35">
      <c r="A69" s="123" t="s">
        <v>26</v>
      </c>
      <c r="B69" s="312" t="s">
        <v>52</v>
      </c>
      <c r="C69" s="312"/>
      <c r="D69" s="124" t="s">
        <v>53</v>
      </c>
      <c r="E69" s="124" t="str">
        <f>$E$6</f>
        <v>Meta
2023</v>
      </c>
      <c r="F69" s="124" t="str">
        <f>$F$6</f>
        <v>Meta
2024</v>
      </c>
      <c r="G69" s="79"/>
      <c r="H69" s="79"/>
      <c r="I69" s="79"/>
    </row>
    <row r="70" spans="1:19" s="52" customFormat="1" ht="34.5" customHeight="1" x14ac:dyDescent="0.35">
      <c r="A70" s="313" t="s">
        <v>254</v>
      </c>
      <c r="B70" s="316" t="s">
        <v>225</v>
      </c>
      <c r="C70" s="316"/>
      <c r="D70" s="315" t="s">
        <v>73</v>
      </c>
      <c r="E70" s="300">
        <v>1.2697790712541719</v>
      </c>
      <c r="F70" s="317">
        <v>1.8</v>
      </c>
      <c r="G70" s="338"/>
      <c r="H70" s="256"/>
      <c r="I70" s="338"/>
      <c r="J70" s="51"/>
      <c r="K70" s="51"/>
      <c r="L70" s="51"/>
      <c r="M70" s="51"/>
      <c r="N70" s="51"/>
      <c r="O70" s="51"/>
      <c r="P70" s="51"/>
      <c r="Q70" s="51"/>
      <c r="R70" s="51"/>
      <c r="S70" s="51"/>
    </row>
    <row r="71" spans="1:19" s="52" customFormat="1" ht="34.5" customHeight="1" x14ac:dyDescent="0.35">
      <c r="A71" s="313"/>
      <c r="B71" s="318" t="s">
        <v>202</v>
      </c>
      <c r="C71" s="318"/>
      <c r="D71" s="315"/>
      <c r="E71" s="300"/>
      <c r="F71" s="317"/>
      <c r="G71" s="338"/>
      <c r="H71" s="256"/>
      <c r="I71" s="338"/>
      <c r="J71" s="51"/>
      <c r="K71" s="51"/>
      <c r="L71" s="51"/>
      <c r="M71" s="51"/>
      <c r="N71" s="51"/>
      <c r="O71" s="51"/>
      <c r="P71" s="51"/>
      <c r="Q71" s="51"/>
      <c r="R71" s="51"/>
      <c r="S71" s="51"/>
    </row>
    <row r="72" spans="1:19" s="52" customFormat="1" ht="34.5" customHeight="1" x14ac:dyDescent="0.35">
      <c r="A72" s="313" t="s">
        <v>255</v>
      </c>
      <c r="B72" s="59" t="s">
        <v>145</v>
      </c>
      <c r="C72" s="315" t="s">
        <v>77</v>
      </c>
      <c r="D72" s="315" t="s">
        <v>73</v>
      </c>
      <c r="E72" s="301">
        <v>0.02</v>
      </c>
      <c r="F72" s="305">
        <v>5.1799999999999999E-2</v>
      </c>
      <c r="G72" s="338"/>
      <c r="H72" s="255"/>
      <c r="I72" s="306"/>
      <c r="J72" s="51"/>
      <c r="K72" s="51"/>
      <c r="L72" s="51"/>
      <c r="M72" s="51"/>
      <c r="N72" s="51"/>
      <c r="O72" s="51"/>
      <c r="P72" s="51"/>
      <c r="Q72" s="51"/>
      <c r="R72" s="51"/>
      <c r="S72" s="51"/>
    </row>
    <row r="73" spans="1:19" ht="34.5" customHeight="1" x14ac:dyDescent="0.35">
      <c r="A73" s="313"/>
      <c r="B73" s="60" t="s">
        <v>201</v>
      </c>
      <c r="C73" s="315"/>
      <c r="D73" s="315"/>
      <c r="E73" s="301"/>
      <c r="F73" s="305"/>
      <c r="G73" s="338"/>
      <c r="H73" s="255"/>
      <c r="I73" s="306"/>
    </row>
    <row r="74" spans="1:19" s="52" customFormat="1" ht="34.5" customHeight="1" x14ac:dyDescent="0.35">
      <c r="A74" s="313" t="s">
        <v>256</v>
      </c>
      <c r="B74" s="59" t="s">
        <v>203</v>
      </c>
      <c r="C74" s="315" t="s">
        <v>77</v>
      </c>
      <c r="D74" s="315" t="s">
        <v>73</v>
      </c>
      <c r="E74" s="302">
        <v>8.5000000000000006E-3</v>
      </c>
      <c r="F74" s="305">
        <v>0.02</v>
      </c>
      <c r="G74" s="338"/>
      <c r="H74" s="255"/>
      <c r="I74" s="306"/>
    </row>
    <row r="75" spans="1:19" s="52" customFormat="1" ht="34.5" customHeight="1" x14ac:dyDescent="0.35">
      <c r="A75" s="313"/>
      <c r="B75" s="60" t="s">
        <v>201</v>
      </c>
      <c r="C75" s="315"/>
      <c r="D75" s="315"/>
      <c r="E75" s="302"/>
      <c r="F75" s="305"/>
      <c r="G75" s="338"/>
      <c r="H75" s="255"/>
      <c r="I75" s="306"/>
    </row>
    <row r="76" spans="1:19" s="52" customFormat="1" ht="45" customHeight="1" x14ac:dyDescent="0.35">
      <c r="A76" s="123" t="s">
        <v>27</v>
      </c>
      <c r="B76" s="312" t="s">
        <v>52</v>
      </c>
      <c r="C76" s="312"/>
      <c r="D76" s="124" t="s">
        <v>53</v>
      </c>
      <c r="E76" s="124" t="str">
        <f>$E$6</f>
        <v>Meta
2023</v>
      </c>
      <c r="F76" s="124" t="str">
        <f>$F$6</f>
        <v>Meta
2024</v>
      </c>
      <c r="G76" s="79"/>
      <c r="H76" s="79"/>
      <c r="I76" s="79"/>
      <c r="J76" s="51"/>
      <c r="K76" s="51"/>
      <c r="L76" s="51"/>
      <c r="M76" s="51"/>
      <c r="N76" s="51"/>
      <c r="O76" s="51"/>
      <c r="P76" s="51"/>
      <c r="Q76" s="51"/>
      <c r="R76" s="51"/>
      <c r="S76" s="51"/>
    </row>
    <row r="77" spans="1:19" ht="34.5" customHeight="1" x14ac:dyDescent="0.35">
      <c r="A77" s="313" t="s">
        <v>257</v>
      </c>
      <c r="B77" s="316" t="s">
        <v>204</v>
      </c>
      <c r="C77" s="316"/>
      <c r="D77" s="315" t="s">
        <v>79</v>
      </c>
      <c r="E77" s="303">
        <v>770.10583800459631</v>
      </c>
      <c r="F77" s="427">
        <v>754.57278639259528</v>
      </c>
      <c r="G77" s="339"/>
      <c r="H77" s="257"/>
      <c r="I77" s="339"/>
    </row>
    <row r="78" spans="1:19" ht="34.5" customHeight="1" x14ac:dyDescent="0.35">
      <c r="A78" s="313"/>
      <c r="B78" s="318" t="s">
        <v>85</v>
      </c>
      <c r="C78" s="318"/>
      <c r="D78" s="315"/>
      <c r="E78" s="303"/>
      <c r="F78" s="427"/>
      <c r="G78" s="339"/>
      <c r="H78" s="257"/>
      <c r="I78" s="339"/>
    </row>
    <row r="79" spans="1:19" ht="34.5" customHeight="1" x14ac:dyDescent="0.35">
      <c r="A79" s="313" t="s">
        <v>258</v>
      </c>
      <c r="B79" s="59" t="s">
        <v>205</v>
      </c>
      <c r="C79" s="315" t="s">
        <v>77</v>
      </c>
      <c r="D79" s="315" t="s">
        <v>206</v>
      </c>
      <c r="E79" s="304">
        <v>0.40078748771810629</v>
      </c>
      <c r="F79" s="428">
        <v>0.4123</v>
      </c>
      <c r="G79" s="339"/>
      <c r="H79" s="255"/>
      <c r="I79" s="255"/>
    </row>
    <row r="80" spans="1:19" ht="34.5" customHeight="1" x14ac:dyDescent="0.35">
      <c r="A80" s="313"/>
      <c r="B80" s="60" t="s">
        <v>204</v>
      </c>
      <c r="C80" s="315"/>
      <c r="D80" s="315"/>
      <c r="E80" s="304"/>
      <c r="F80" s="428"/>
      <c r="G80" s="339"/>
      <c r="H80" s="261"/>
      <c r="I80" s="255"/>
    </row>
    <row r="81" spans="1:19" ht="34.5" customHeight="1" x14ac:dyDescent="0.35">
      <c r="A81" s="313" t="s">
        <v>259</v>
      </c>
      <c r="B81" s="316" t="s">
        <v>148</v>
      </c>
      <c r="C81" s="316"/>
      <c r="D81" s="315" t="s">
        <v>79</v>
      </c>
      <c r="E81" s="300">
        <v>55</v>
      </c>
      <c r="F81" s="317">
        <v>55</v>
      </c>
      <c r="G81" s="339"/>
      <c r="H81" s="256"/>
      <c r="I81" s="338"/>
    </row>
    <row r="82" spans="1:19" ht="34.5" customHeight="1" x14ac:dyDescent="0.35">
      <c r="A82" s="313"/>
      <c r="B82" s="318" t="s">
        <v>84</v>
      </c>
      <c r="C82" s="318"/>
      <c r="D82" s="315"/>
      <c r="E82" s="300"/>
      <c r="F82" s="317"/>
      <c r="G82" s="339"/>
      <c r="H82" s="256"/>
      <c r="I82" s="338"/>
    </row>
    <row r="83" spans="1:19" ht="34.5" customHeight="1" x14ac:dyDescent="0.35">
      <c r="A83" s="313" t="s">
        <v>260</v>
      </c>
      <c r="B83" s="59" t="s">
        <v>149</v>
      </c>
      <c r="C83" s="315" t="s">
        <v>77</v>
      </c>
      <c r="D83" s="315" t="s">
        <v>78</v>
      </c>
      <c r="E83" s="319">
        <v>28.180399943270459</v>
      </c>
      <c r="F83" s="305">
        <v>0.317</v>
      </c>
      <c r="G83" s="339"/>
      <c r="H83" s="255"/>
      <c r="I83" s="306"/>
    </row>
    <row r="84" spans="1:19" s="52" customFormat="1" ht="34.5" customHeight="1" x14ac:dyDescent="0.35">
      <c r="A84" s="313"/>
      <c r="B84" s="60" t="s">
        <v>226</v>
      </c>
      <c r="C84" s="315"/>
      <c r="D84" s="315"/>
      <c r="E84" s="319"/>
      <c r="F84" s="305"/>
      <c r="G84" s="339"/>
      <c r="H84" s="255"/>
      <c r="I84" s="306"/>
      <c r="J84" s="51"/>
      <c r="K84" s="51"/>
      <c r="L84" s="51"/>
      <c r="M84" s="51"/>
      <c r="N84" s="51"/>
      <c r="O84" s="51"/>
      <c r="P84" s="51"/>
      <c r="Q84" s="51"/>
      <c r="R84" s="51"/>
      <c r="S84" s="51"/>
    </row>
    <row r="85" spans="1:19" s="52" customFormat="1" ht="34.5" customHeight="1" x14ac:dyDescent="0.35">
      <c r="A85" s="313" t="s">
        <v>261</v>
      </c>
      <c r="B85" s="59" t="s">
        <v>86</v>
      </c>
      <c r="C85" s="315" t="s">
        <v>77</v>
      </c>
      <c r="D85" s="315" t="s">
        <v>78</v>
      </c>
      <c r="E85" s="319">
        <v>55.281690140845072</v>
      </c>
      <c r="F85" s="305">
        <v>0.60799999999999998</v>
      </c>
      <c r="G85" s="339"/>
      <c r="H85" s="255"/>
      <c r="I85" s="306"/>
      <c r="J85" s="51"/>
      <c r="K85" s="51"/>
      <c r="L85" s="51"/>
      <c r="M85" s="51"/>
      <c r="N85" s="51"/>
      <c r="O85" s="51"/>
      <c r="P85" s="51"/>
      <c r="Q85" s="51"/>
      <c r="R85" s="51"/>
      <c r="S85" s="51"/>
    </row>
    <row r="86" spans="1:19" s="52" customFormat="1" ht="34.5" customHeight="1" x14ac:dyDescent="0.35">
      <c r="A86" s="313"/>
      <c r="B86" s="60" t="s">
        <v>207</v>
      </c>
      <c r="C86" s="315"/>
      <c r="D86" s="315"/>
      <c r="E86" s="319"/>
      <c r="F86" s="305"/>
      <c r="G86" s="339"/>
      <c r="H86" s="255"/>
      <c r="I86" s="306"/>
      <c r="J86" s="51"/>
      <c r="K86" s="51"/>
      <c r="L86" s="51"/>
      <c r="M86" s="51"/>
      <c r="N86" s="51"/>
      <c r="O86" s="51"/>
      <c r="P86" s="51"/>
      <c r="Q86" s="51"/>
      <c r="R86" s="51"/>
      <c r="S86" s="51"/>
    </row>
    <row r="87" spans="1:19" s="52" customFormat="1" ht="45" customHeight="1" x14ac:dyDescent="0.35">
      <c r="A87" s="123" t="s">
        <v>28</v>
      </c>
      <c r="B87" s="312" t="s">
        <v>52</v>
      </c>
      <c r="C87" s="312"/>
      <c r="D87" s="124" t="s">
        <v>53</v>
      </c>
      <c r="E87" s="124" t="str">
        <f>$E$6</f>
        <v>Meta
2023</v>
      </c>
      <c r="F87" s="124" t="str">
        <f>$F$6</f>
        <v>Meta
2024</v>
      </c>
      <c r="G87" s="79"/>
      <c r="H87" s="79"/>
      <c r="I87" s="79"/>
      <c r="J87" s="51"/>
      <c r="K87" s="51"/>
      <c r="L87" s="51"/>
      <c r="M87" s="51"/>
      <c r="N87" s="51"/>
      <c r="O87" s="51"/>
      <c r="P87" s="51"/>
      <c r="Q87" s="51"/>
      <c r="R87" s="51"/>
      <c r="S87" s="51"/>
    </row>
    <row r="88" spans="1:19" s="52" customFormat="1" ht="34.5" customHeight="1" x14ac:dyDescent="0.35">
      <c r="A88" s="313" t="s">
        <v>262</v>
      </c>
      <c r="B88" s="59" t="s">
        <v>208</v>
      </c>
      <c r="C88" s="315" t="s">
        <v>77</v>
      </c>
      <c r="D88" s="315" t="s">
        <v>206</v>
      </c>
      <c r="E88" s="299"/>
      <c r="F88" s="305"/>
      <c r="G88" s="306"/>
      <c r="H88" s="255"/>
      <c r="I88" s="306"/>
      <c r="J88" s="51"/>
      <c r="K88" s="51"/>
      <c r="L88" s="51"/>
      <c r="M88" s="51"/>
      <c r="N88" s="51"/>
      <c r="O88" s="51"/>
      <c r="P88" s="51"/>
      <c r="Q88" s="51"/>
      <c r="R88" s="51"/>
      <c r="S88" s="51"/>
    </row>
    <row r="89" spans="1:19" s="52" customFormat="1" ht="34.5" customHeight="1" x14ac:dyDescent="0.35">
      <c r="A89" s="313"/>
      <c r="B89" s="60" t="s">
        <v>209</v>
      </c>
      <c r="C89" s="315"/>
      <c r="D89" s="315"/>
      <c r="E89" s="299"/>
      <c r="F89" s="305"/>
      <c r="G89" s="306"/>
      <c r="H89" s="255"/>
      <c r="I89" s="306"/>
      <c r="J89" s="51"/>
      <c r="K89" s="51"/>
      <c r="L89" s="51"/>
      <c r="M89" s="51"/>
      <c r="N89" s="51"/>
      <c r="O89" s="51"/>
      <c r="P89" s="51"/>
      <c r="Q89" s="51"/>
      <c r="R89" s="51"/>
      <c r="S89" s="51"/>
    </row>
    <row r="90" spans="1:19" s="52" customFormat="1" ht="34.5" customHeight="1" x14ac:dyDescent="0.35">
      <c r="A90" s="313" t="s">
        <v>263</v>
      </c>
      <c r="B90" s="59" t="s">
        <v>210</v>
      </c>
      <c r="C90" s="315" t="s">
        <v>77</v>
      </c>
      <c r="D90" s="315" t="s">
        <v>206</v>
      </c>
      <c r="E90" s="299"/>
      <c r="F90" s="305"/>
      <c r="G90" s="306"/>
      <c r="H90" s="255"/>
      <c r="I90" s="306"/>
      <c r="J90" s="51"/>
      <c r="K90" s="51"/>
      <c r="L90" s="51"/>
      <c r="M90" s="51"/>
      <c r="N90" s="51"/>
      <c r="O90" s="51"/>
      <c r="P90" s="51"/>
      <c r="Q90" s="51"/>
      <c r="R90" s="51"/>
      <c r="S90" s="51"/>
    </row>
    <row r="91" spans="1:19" s="52" customFormat="1" ht="34.5" customHeight="1" x14ac:dyDescent="0.35">
      <c r="A91" s="313"/>
      <c r="B91" s="60" t="s">
        <v>211</v>
      </c>
      <c r="C91" s="315"/>
      <c r="D91" s="315"/>
      <c r="E91" s="299"/>
      <c r="F91" s="305"/>
      <c r="G91" s="306"/>
      <c r="H91" s="255"/>
      <c r="I91" s="306"/>
      <c r="J91" s="51"/>
      <c r="K91" s="51"/>
      <c r="L91" s="51"/>
      <c r="M91" s="51"/>
      <c r="N91" s="51"/>
      <c r="O91" s="51"/>
      <c r="P91" s="51"/>
      <c r="Q91" s="51"/>
      <c r="R91" s="51"/>
      <c r="S91" s="51"/>
    </row>
    <row r="92" spans="1:19" s="52" customFormat="1" ht="34.5" customHeight="1" x14ac:dyDescent="0.35">
      <c r="A92" s="313" t="s">
        <v>264</v>
      </c>
      <c r="B92" s="59" t="s">
        <v>212</v>
      </c>
      <c r="C92" s="315" t="s">
        <v>77</v>
      </c>
      <c r="D92" s="315" t="s">
        <v>206</v>
      </c>
      <c r="E92" s="299"/>
      <c r="F92" s="305"/>
      <c r="G92" s="306"/>
      <c r="H92" s="255"/>
      <c r="I92" s="306"/>
      <c r="J92" s="51"/>
      <c r="K92" s="51"/>
      <c r="L92" s="51"/>
      <c r="M92" s="51"/>
      <c r="N92" s="51"/>
      <c r="O92" s="51"/>
      <c r="P92" s="51"/>
      <c r="Q92" s="51"/>
      <c r="R92" s="51"/>
      <c r="S92" s="51"/>
    </row>
    <row r="93" spans="1:19" s="52" customFormat="1" ht="34.5" customHeight="1" x14ac:dyDescent="0.35">
      <c r="A93" s="313"/>
      <c r="B93" s="60" t="s">
        <v>211</v>
      </c>
      <c r="C93" s="315"/>
      <c r="D93" s="315"/>
      <c r="E93" s="299"/>
      <c r="F93" s="305"/>
      <c r="G93" s="306"/>
      <c r="H93" s="255"/>
      <c r="I93" s="306"/>
      <c r="J93" s="51"/>
      <c r="K93" s="51"/>
      <c r="L93" s="51"/>
      <c r="M93" s="51"/>
      <c r="N93" s="51"/>
      <c r="O93" s="51"/>
      <c r="P93" s="51"/>
      <c r="Q93" s="51"/>
      <c r="R93" s="51"/>
      <c r="S93" s="51"/>
    </row>
    <row r="94" spans="1:19" s="52" customFormat="1" ht="45" customHeight="1" x14ac:dyDescent="0.35">
      <c r="A94" s="123" t="s">
        <v>29</v>
      </c>
      <c r="B94" s="312" t="s">
        <v>52</v>
      </c>
      <c r="C94" s="312"/>
      <c r="D94" s="124" t="s">
        <v>53</v>
      </c>
      <c r="E94" s="124" t="str">
        <f>$E$6</f>
        <v>Meta
2023</v>
      </c>
      <c r="F94" s="124" t="str">
        <f>$F$6</f>
        <v>Meta
2024</v>
      </c>
      <c r="G94" s="79"/>
      <c r="H94" s="79"/>
      <c r="I94" s="79"/>
      <c r="J94" s="51"/>
      <c r="K94" s="51"/>
      <c r="L94" s="51"/>
      <c r="M94" s="51"/>
      <c r="N94" s="51"/>
      <c r="O94" s="51"/>
      <c r="P94" s="51"/>
      <c r="Q94" s="51"/>
      <c r="R94" s="51"/>
      <c r="S94" s="51"/>
    </row>
    <row r="95" spans="1:19" s="52" customFormat="1" ht="34.5" customHeight="1" x14ac:dyDescent="0.35">
      <c r="A95" s="313" t="s">
        <v>265</v>
      </c>
      <c r="B95" s="316" t="s">
        <v>87</v>
      </c>
      <c r="C95" s="316"/>
      <c r="D95" s="315" t="s">
        <v>72</v>
      </c>
      <c r="E95" s="298">
        <v>5</v>
      </c>
      <c r="F95" s="317">
        <v>5</v>
      </c>
      <c r="G95" s="338"/>
      <c r="H95" s="256"/>
      <c r="I95" s="338"/>
      <c r="J95" s="51"/>
      <c r="K95" s="51"/>
      <c r="L95" s="51"/>
      <c r="M95" s="51"/>
      <c r="N95" s="51"/>
      <c r="O95" s="51"/>
      <c r="P95" s="51"/>
      <c r="Q95" s="51"/>
      <c r="R95" s="51"/>
      <c r="S95" s="51"/>
    </row>
    <row r="96" spans="1:19" s="52" customFormat="1" ht="34.5" customHeight="1" x14ac:dyDescent="0.35">
      <c r="A96" s="313"/>
      <c r="B96" s="318" t="s">
        <v>88</v>
      </c>
      <c r="C96" s="318"/>
      <c r="D96" s="315"/>
      <c r="E96" s="298"/>
      <c r="F96" s="317"/>
      <c r="G96" s="338"/>
      <c r="H96" s="256"/>
      <c r="I96" s="338"/>
      <c r="J96" s="51"/>
      <c r="K96" s="51"/>
      <c r="L96" s="51"/>
      <c r="M96" s="51"/>
      <c r="N96" s="51"/>
      <c r="O96" s="51"/>
      <c r="P96" s="51"/>
      <c r="Q96" s="51"/>
      <c r="R96" s="51"/>
      <c r="S96" s="51"/>
    </row>
    <row r="97" spans="1:19" s="52" customFormat="1" ht="45" customHeight="1" x14ac:dyDescent="0.35">
      <c r="A97" s="123" t="s">
        <v>30</v>
      </c>
      <c r="B97" s="312" t="s">
        <v>52</v>
      </c>
      <c r="C97" s="312"/>
      <c r="D97" s="124" t="s">
        <v>53</v>
      </c>
      <c r="E97" s="124" t="str">
        <f>$E$6</f>
        <v>Meta
2023</v>
      </c>
      <c r="F97" s="124" t="str">
        <f>$F$6</f>
        <v>Meta
2024</v>
      </c>
      <c r="G97" s="79"/>
      <c r="H97" s="79"/>
      <c r="I97" s="79"/>
      <c r="J97" s="51"/>
      <c r="K97" s="51"/>
      <c r="L97" s="51"/>
      <c r="M97" s="51"/>
      <c r="N97" s="51"/>
      <c r="O97" s="51"/>
      <c r="P97" s="51"/>
      <c r="Q97" s="51"/>
      <c r="R97" s="51"/>
      <c r="S97" s="51"/>
    </row>
    <row r="98" spans="1:19" s="52" customFormat="1" ht="34.5" customHeight="1" x14ac:dyDescent="0.35">
      <c r="A98" s="63" t="s">
        <v>213</v>
      </c>
      <c r="B98" s="315" t="s">
        <v>214</v>
      </c>
      <c r="C98" s="315"/>
      <c r="D98" s="64" t="s">
        <v>72</v>
      </c>
      <c r="E98" s="69"/>
      <c r="F98" s="70"/>
      <c r="G98" s="83"/>
      <c r="H98" s="83"/>
      <c r="I98" s="83"/>
      <c r="J98" s="51"/>
      <c r="K98" s="51"/>
      <c r="L98" s="51"/>
      <c r="M98" s="51"/>
      <c r="N98" s="51"/>
      <c r="O98" s="51"/>
      <c r="P98" s="51"/>
      <c r="Q98" s="51"/>
      <c r="R98" s="51"/>
      <c r="S98" s="51"/>
    </row>
    <row r="99" spans="1:19" s="52" customFormat="1" ht="34.5" customHeight="1" x14ac:dyDescent="0.35">
      <c r="A99" s="313" t="s">
        <v>215</v>
      </c>
      <c r="B99" s="59" t="s">
        <v>266</v>
      </c>
      <c r="C99" s="314" t="s">
        <v>77</v>
      </c>
      <c r="D99" s="315" t="s">
        <v>79</v>
      </c>
      <c r="E99" s="299"/>
      <c r="F99" s="305"/>
      <c r="G99" s="83"/>
      <c r="H99" s="255"/>
      <c r="I99" s="306"/>
      <c r="J99" s="51"/>
      <c r="K99" s="51"/>
      <c r="L99" s="51"/>
      <c r="M99" s="51"/>
      <c r="N99" s="51"/>
      <c r="O99" s="51"/>
      <c r="P99" s="51"/>
      <c r="Q99" s="51"/>
      <c r="R99" s="51"/>
      <c r="S99" s="51"/>
    </row>
    <row r="100" spans="1:19" s="52" customFormat="1" ht="34.5" customHeight="1" x14ac:dyDescent="0.35">
      <c r="A100" s="313"/>
      <c r="B100" s="60" t="s">
        <v>267</v>
      </c>
      <c r="C100" s="314"/>
      <c r="D100" s="315"/>
      <c r="E100" s="299"/>
      <c r="F100" s="305"/>
      <c r="G100" s="83"/>
      <c r="H100" s="255"/>
      <c r="I100" s="306"/>
      <c r="J100" s="51"/>
      <c r="K100" s="51"/>
      <c r="L100" s="51"/>
      <c r="M100" s="51"/>
      <c r="N100" s="51"/>
      <c r="O100" s="51"/>
      <c r="P100" s="51"/>
      <c r="Q100" s="51"/>
      <c r="R100" s="51"/>
      <c r="S100" s="51"/>
    </row>
    <row r="101" spans="1:19" s="52" customFormat="1" ht="45" customHeight="1" x14ac:dyDescent="0.35">
      <c r="A101" s="123" t="s">
        <v>31</v>
      </c>
      <c r="B101" s="312" t="s">
        <v>52</v>
      </c>
      <c r="C101" s="312"/>
      <c r="D101" s="124" t="s">
        <v>53</v>
      </c>
      <c r="E101" s="124" t="str">
        <f>$E$6</f>
        <v>Meta
2023</v>
      </c>
      <c r="F101" s="124" t="str">
        <f>$F$6</f>
        <v>Meta
2024</v>
      </c>
      <c r="G101" s="79"/>
      <c r="H101" s="79"/>
      <c r="I101" s="79"/>
      <c r="J101" s="51"/>
      <c r="K101" s="51"/>
      <c r="L101" s="51"/>
      <c r="M101" s="51"/>
      <c r="N101" s="51"/>
      <c r="O101" s="51"/>
      <c r="P101" s="51"/>
      <c r="Q101" s="51"/>
      <c r="R101" s="51"/>
      <c r="S101" s="51"/>
    </row>
    <row r="102" spans="1:19" s="52" customFormat="1" ht="34.5" customHeight="1" x14ac:dyDescent="0.35">
      <c r="A102" s="313" t="s">
        <v>268</v>
      </c>
      <c r="B102" s="59" t="s">
        <v>146</v>
      </c>
      <c r="C102" s="314" t="s">
        <v>77</v>
      </c>
      <c r="D102" s="315" t="s">
        <v>79</v>
      </c>
      <c r="E102" s="299"/>
      <c r="F102" s="426">
        <v>0.7</v>
      </c>
      <c r="G102" s="306"/>
      <c r="H102" s="255"/>
      <c r="I102" s="306"/>
      <c r="J102" s="51"/>
      <c r="K102" s="51"/>
      <c r="L102" s="51"/>
      <c r="M102" s="51"/>
      <c r="N102" s="51"/>
      <c r="O102" s="51"/>
      <c r="P102" s="51"/>
      <c r="Q102" s="51"/>
      <c r="R102" s="51"/>
      <c r="S102" s="51"/>
    </row>
    <row r="103" spans="1:19" ht="34.5" customHeight="1" x14ac:dyDescent="0.35">
      <c r="A103" s="313"/>
      <c r="B103" s="71" t="s">
        <v>89</v>
      </c>
      <c r="C103" s="314"/>
      <c r="D103" s="315"/>
      <c r="E103" s="299"/>
      <c r="F103" s="426"/>
      <c r="G103" s="306"/>
      <c r="H103" s="255"/>
      <c r="I103" s="306"/>
    </row>
    <row r="104" spans="1:19" ht="34.5" customHeight="1" x14ac:dyDescent="0.35">
      <c r="A104" s="313" t="s">
        <v>269</v>
      </c>
      <c r="B104" s="59" t="s">
        <v>147</v>
      </c>
      <c r="C104" s="314" t="s">
        <v>77</v>
      </c>
      <c r="D104" s="315" t="s">
        <v>206</v>
      </c>
      <c r="E104" s="299"/>
      <c r="F104" s="426">
        <v>0.7</v>
      </c>
      <c r="G104" s="306"/>
      <c r="H104" s="255"/>
      <c r="I104" s="306"/>
    </row>
    <row r="105" spans="1:19" ht="34.5" customHeight="1" x14ac:dyDescent="0.35">
      <c r="A105" s="313"/>
      <c r="B105" s="71" t="s">
        <v>90</v>
      </c>
      <c r="C105" s="314"/>
      <c r="D105" s="315"/>
      <c r="E105" s="299"/>
      <c r="F105" s="426"/>
      <c r="G105" s="306"/>
      <c r="H105" s="255"/>
      <c r="I105" s="306"/>
    </row>
    <row r="106" spans="1:19" ht="21.75" customHeight="1" x14ac:dyDescent="0.35"/>
    <row r="107" spans="1:19" x14ac:dyDescent="0.35">
      <c r="A107" s="334" t="s">
        <v>221</v>
      </c>
      <c r="B107" s="334"/>
      <c r="C107" s="334"/>
      <c r="D107" s="334"/>
      <c r="E107" s="334"/>
      <c r="F107" s="334"/>
    </row>
    <row r="108" spans="1:19" ht="45" customHeight="1" x14ac:dyDescent="0.35">
      <c r="A108" s="335" t="s">
        <v>365</v>
      </c>
      <c r="B108" s="336"/>
      <c r="C108" s="336"/>
      <c r="D108" s="336"/>
      <c r="E108" s="336"/>
      <c r="F108" s="336"/>
    </row>
    <row r="110" spans="1:19" hidden="1" x14ac:dyDescent="0.35">
      <c r="A110" s="76" t="s">
        <v>270</v>
      </c>
    </row>
    <row r="111" spans="1:19" hidden="1" x14ac:dyDescent="0.35">
      <c r="A111" s="77"/>
    </row>
    <row r="112" spans="1:19" hidden="1" x14ac:dyDescent="0.35">
      <c r="A112" s="77"/>
    </row>
    <row r="113" spans="1:1" hidden="1" x14ac:dyDescent="0.35">
      <c r="A113" s="77"/>
    </row>
    <row r="114" spans="1:1" hidden="1" x14ac:dyDescent="0.35">
      <c r="A114" s="77"/>
    </row>
    <row r="115" spans="1:1" hidden="1" x14ac:dyDescent="0.35">
      <c r="A115" s="77"/>
    </row>
    <row r="116" spans="1:1" hidden="1" x14ac:dyDescent="0.35">
      <c r="A116" s="77"/>
    </row>
    <row r="117" spans="1:1" hidden="1" x14ac:dyDescent="0.35">
      <c r="A117" s="77"/>
    </row>
    <row r="118" spans="1:1" hidden="1" x14ac:dyDescent="0.35">
      <c r="A118" s="77"/>
    </row>
    <row r="119" spans="1:1" hidden="1" x14ac:dyDescent="0.35">
      <c r="A119" s="77"/>
    </row>
    <row r="120" spans="1:1" hidden="1" x14ac:dyDescent="0.35">
      <c r="A120" s="77"/>
    </row>
    <row r="121" spans="1:1" hidden="1" x14ac:dyDescent="0.35">
      <c r="A121" s="77"/>
    </row>
    <row r="122" spans="1:1" hidden="1" x14ac:dyDescent="0.35">
      <c r="A122" s="77"/>
    </row>
    <row r="123" spans="1:1" hidden="1" x14ac:dyDescent="0.35">
      <c r="A123" s="77"/>
    </row>
    <row r="124" spans="1:1" hidden="1" x14ac:dyDescent="0.35">
      <c r="A124" s="77"/>
    </row>
    <row r="125" spans="1:1" hidden="1" x14ac:dyDescent="0.35">
      <c r="A125" s="77"/>
    </row>
    <row r="126" spans="1:1" hidden="1" x14ac:dyDescent="0.35">
      <c r="A126" s="77"/>
    </row>
  </sheetData>
  <protectedRanges>
    <protectedRange algorithmName="SHA-512" hashValue="oBu0U8UHWW1M9CSBiI+2smTKBuiu7zBMJPASzxaVW3/YfTocFsZXqoNbgPAUiXKweXnE/VLNBYi0YQjO9aRFIA==" saltValue="Uwn4xh4BFhDBBJp6oLNp+A==" spinCount="100000" sqref="G1:I2 G4:I1048576" name="Indicadores"/>
  </protectedRanges>
  <mergeCells count="312">
    <mergeCell ref="G81:G82"/>
    <mergeCell ref="I81:I82"/>
    <mergeCell ref="G83:G84"/>
    <mergeCell ref="I83:I84"/>
    <mergeCell ref="G85:G86"/>
    <mergeCell ref="I85:I86"/>
    <mergeCell ref="G88:G89"/>
    <mergeCell ref="I88:I89"/>
    <mergeCell ref="G104:G105"/>
    <mergeCell ref="I104:I105"/>
    <mergeCell ref="G90:G91"/>
    <mergeCell ref="I90:I91"/>
    <mergeCell ref="G92:G93"/>
    <mergeCell ref="I92:I93"/>
    <mergeCell ref="G95:G96"/>
    <mergeCell ref="I95:I96"/>
    <mergeCell ref="I99:I100"/>
    <mergeCell ref="G102:G103"/>
    <mergeCell ref="I102:I103"/>
    <mergeCell ref="G70:G71"/>
    <mergeCell ref="I70:I71"/>
    <mergeCell ref="G72:G73"/>
    <mergeCell ref="I72:I73"/>
    <mergeCell ref="G74:G75"/>
    <mergeCell ref="I74:I75"/>
    <mergeCell ref="G77:G78"/>
    <mergeCell ref="I77:I78"/>
    <mergeCell ref="G79:G80"/>
    <mergeCell ref="G57:G58"/>
    <mergeCell ref="I57:I58"/>
    <mergeCell ref="G59:G60"/>
    <mergeCell ref="I59:I60"/>
    <mergeCell ref="G63:G64"/>
    <mergeCell ref="I63:I64"/>
    <mergeCell ref="G65:G66"/>
    <mergeCell ref="I65:I66"/>
    <mergeCell ref="G67:G68"/>
    <mergeCell ref="I67:I68"/>
    <mergeCell ref="G42:G43"/>
    <mergeCell ref="I42:I43"/>
    <mergeCell ref="G44:G45"/>
    <mergeCell ref="I44:I45"/>
    <mergeCell ref="G46:G47"/>
    <mergeCell ref="I46:I47"/>
    <mergeCell ref="G51:G52"/>
    <mergeCell ref="I51:I52"/>
    <mergeCell ref="G53:G54"/>
    <mergeCell ref="I53:I54"/>
    <mergeCell ref="A107:F107"/>
    <mergeCell ref="A108:F108"/>
    <mergeCell ref="G7:G8"/>
    <mergeCell ref="I7:I8"/>
    <mergeCell ref="G12:G13"/>
    <mergeCell ref="I12:I13"/>
    <mergeCell ref="G14:G15"/>
    <mergeCell ref="I14:I15"/>
    <mergeCell ref="G16:G17"/>
    <mergeCell ref="I16:I17"/>
    <mergeCell ref="G18:G19"/>
    <mergeCell ref="I18:I19"/>
    <mergeCell ref="G20:G21"/>
    <mergeCell ref="I20:I21"/>
    <mergeCell ref="G22:G23"/>
    <mergeCell ref="I22:I23"/>
    <mergeCell ref="G24:G25"/>
    <mergeCell ref="I24:I25"/>
    <mergeCell ref="G26:G27"/>
    <mergeCell ref="I26:I27"/>
    <mergeCell ref="G28:G29"/>
    <mergeCell ref="A10:F10"/>
    <mergeCell ref="B11:C11"/>
    <mergeCell ref="A12:A13"/>
    <mergeCell ref="C12:C13"/>
    <mergeCell ref="D12:D13"/>
    <mergeCell ref="F12:F13"/>
    <mergeCell ref="A5:F5"/>
    <mergeCell ref="B6:C6"/>
    <mergeCell ref="A7:A8"/>
    <mergeCell ref="C7:C8"/>
    <mergeCell ref="D7:D8"/>
    <mergeCell ref="F7:F8"/>
    <mergeCell ref="A14:A15"/>
    <mergeCell ref="C14:C15"/>
    <mergeCell ref="D14:D15"/>
    <mergeCell ref="F14:F15"/>
    <mergeCell ref="A16:A17"/>
    <mergeCell ref="B16:C16"/>
    <mergeCell ref="D16:D17"/>
    <mergeCell ref="F16:F17"/>
    <mergeCell ref="B17:C17"/>
    <mergeCell ref="E16:E17"/>
    <mergeCell ref="A18:A19"/>
    <mergeCell ref="C18:C19"/>
    <mergeCell ref="D18:D19"/>
    <mergeCell ref="F18:F19"/>
    <mergeCell ref="A20:A21"/>
    <mergeCell ref="C20:C21"/>
    <mergeCell ref="D20:D21"/>
    <mergeCell ref="F20:F21"/>
    <mergeCell ref="E18:E19"/>
    <mergeCell ref="E20:E21"/>
    <mergeCell ref="A22:A23"/>
    <mergeCell ref="C22:C23"/>
    <mergeCell ref="D22:D23"/>
    <mergeCell ref="F22:F23"/>
    <mergeCell ref="A24:A25"/>
    <mergeCell ref="C24:C25"/>
    <mergeCell ref="D24:D25"/>
    <mergeCell ref="F24:F25"/>
    <mergeCell ref="E22:E23"/>
    <mergeCell ref="E24:E25"/>
    <mergeCell ref="A26:A27"/>
    <mergeCell ref="C26:C27"/>
    <mergeCell ref="D26:D27"/>
    <mergeCell ref="F26:F27"/>
    <mergeCell ref="A28:A29"/>
    <mergeCell ref="C28:C29"/>
    <mergeCell ref="D28:D29"/>
    <mergeCell ref="F28:F29"/>
    <mergeCell ref="E26:E27"/>
    <mergeCell ref="E28:E29"/>
    <mergeCell ref="A35:A36"/>
    <mergeCell ref="C35:C36"/>
    <mergeCell ref="D35:D36"/>
    <mergeCell ref="F35:F36"/>
    <mergeCell ref="A37:A38"/>
    <mergeCell ref="C37:C38"/>
    <mergeCell ref="D37:D38"/>
    <mergeCell ref="F37:F38"/>
    <mergeCell ref="A30:A31"/>
    <mergeCell ref="C30:C31"/>
    <mergeCell ref="D30:D31"/>
    <mergeCell ref="F30:F31"/>
    <mergeCell ref="B32:C32"/>
    <mergeCell ref="A33:A34"/>
    <mergeCell ref="C33:C34"/>
    <mergeCell ref="D33:D34"/>
    <mergeCell ref="F33:F34"/>
    <mergeCell ref="E30:E31"/>
    <mergeCell ref="E33:E34"/>
    <mergeCell ref="E35:E36"/>
    <mergeCell ref="E37:E38"/>
    <mergeCell ref="B39:C39"/>
    <mergeCell ref="A40:A41"/>
    <mergeCell ref="C40:C41"/>
    <mergeCell ref="D40:D41"/>
    <mergeCell ref="F40:F41"/>
    <mergeCell ref="A42:A43"/>
    <mergeCell ref="C42:C43"/>
    <mergeCell ref="D42:D43"/>
    <mergeCell ref="F42:F43"/>
    <mergeCell ref="E40:E41"/>
    <mergeCell ref="E42:E43"/>
    <mergeCell ref="A44:A45"/>
    <mergeCell ref="B44:C44"/>
    <mergeCell ref="D44:D45"/>
    <mergeCell ref="F44:F45"/>
    <mergeCell ref="B45:C45"/>
    <mergeCell ref="A46:A47"/>
    <mergeCell ref="C46:C47"/>
    <mergeCell ref="D46:D47"/>
    <mergeCell ref="F46:F47"/>
    <mergeCell ref="E46:E47"/>
    <mergeCell ref="E44:E45"/>
    <mergeCell ref="A53:A54"/>
    <mergeCell ref="C53:C54"/>
    <mergeCell ref="D53:D54"/>
    <mergeCell ref="F53:F54"/>
    <mergeCell ref="B55:C55"/>
    <mergeCell ref="B48:C48"/>
    <mergeCell ref="B49:C49"/>
    <mergeCell ref="B50:C50"/>
    <mergeCell ref="A51:A52"/>
    <mergeCell ref="C51:C52"/>
    <mergeCell ref="D51:D52"/>
    <mergeCell ref="E51:E52"/>
    <mergeCell ref="E53:E54"/>
    <mergeCell ref="B61:C61"/>
    <mergeCell ref="B62:C62"/>
    <mergeCell ref="A63:A64"/>
    <mergeCell ref="C63:C64"/>
    <mergeCell ref="D63:D64"/>
    <mergeCell ref="F63:F64"/>
    <mergeCell ref="E63:E64"/>
    <mergeCell ref="B56:C56"/>
    <mergeCell ref="A57:A58"/>
    <mergeCell ref="C57:C58"/>
    <mergeCell ref="D57:D58"/>
    <mergeCell ref="F57:F58"/>
    <mergeCell ref="A59:A60"/>
    <mergeCell ref="C59:C60"/>
    <mergeCell ref="D59:D60"/>
    <mergeCell ref="F59:F60"/>
    <mergeCell ref="E57:E58"/>
    <mergeCell ref="E59:E60"/>
    <mergeCell ref="B69:C69"/>
    <mergeCell ref="A70:A71"/>
    <mergeCell ref="B70:C70"/>
    <mergeCell ref="D70:D71"/>
    <mergeCell ref="F70:F71"/>
    <mergeCell ref="B71:C71"/>
    <mergeCell ref="A65:A66"/>
    <mergeCell ref="C65:C66"/>
    <mergeCell ref="D65:D66"/>
    <mergeCell ref="F65:F66"/>
    <mergeCell ref="A67:A68"/>
    <mergeCell ref="B67:C67"/>
    <mergeCell ref="D67:D68"/>
    <mergeCell ref="F67:F68"/>
    <mergeCell ref="B68:C68"/>
    <mergeCell ref="E65:E66"/>
    <mergeCell ref="B76:C76"/>
    <mergeCell ref="A77:A78"/>
    <mergeCell ref="B77:C77"/>
    <mergeCell ref="D77:D78"/>
    <mergeCell ref="F77:F78"/>
    <mergeCell ref="B78:C78"/>
    <mergeCell ref="A72:A73"/>
    <mergeCell ref="C72:C73"/>
    <mergeCell ref="D72:D73"/>
    <mergeCell ref="F72:F73"/>
    <mergeCell ref="A74:A75"/>
    <mergeCell ref="C74:C75"/>
    <mergeCell ref="D74:D75"/>
    <mergeCell ref="F74:F75"/>
    <mergeCell ref="A79:A80"/>
    <mergeCell ref="C79:C80"/>
    <mergeCell ref="D79:D80"/>
    <mergeCell ref="F79:F80"/>
    <mergeCell ref="A81:A82"/>
    <mergeCell ref="B81:C81"/>
    <mergeCell ref="D81:D82"/>
    <mergeCell ref="F81:F82"/>
    <mergeCell ref="B82:C82"/>
    <mergeCell ref="E81:E82"/>
    <mergeCell ref="D92:D93"/>
    <mergeCell ref="E90:E91"/>
    <mergeCell ref="B87:C87"/>
    <mergeCell ref="A88:A89"/>
    <mergeCell ref="C88:C89"/>
    <mergeCell ref="D88:D89"/>
    <mergeCell ref="F88:F89"/>
    <mergeCell ref="E88:E89"/>
    <mergeCell ref="A83:A84"/>
    <mergeCell ref="C83:C84"/>
    <mergeCell ref="D83:D84"/>
    <mergeCell ref="F83:F84"/>
    <mergeCell ref="A85:A86"/>
    <mergeCell ref="C85:C86"/>
    <mergeCell ref="D85:D86"/>
    <mergeCell ref="F85:F86"/>
    <mergeCell ref="E83:E84"/>
    <mergeCell ref="E85:E86"/>
    <mergeCell ref="E92:E93"/>
    <mergeCell ref="A104:A105"/>
    <mergeCell ref="C104:C105"/>
    <mergeCell ref="D104:D105"/>
    <mergeCell ref="F104:F105"/>
    <mergeCell ref="B97:C97"/>
    <mergeCell ref="B98:C98"/>
    <mergeCell ref="A99:A100"/>
    <mergeCell ref="C99:C100"/>
    <mergeCell ref="D99:D100"/>
    <mergeCell ref="F99:F100"/>
    <mergeCell ref="A1:F1"/>
    <mergeCell ref="A2:F2"/>
    <mergeCell ref="A3:F3"/>
    <mergeCell ref="E7:E8"/>
    <mergeCell ref="E12:E13"/>
    <mergeCell ref="E14:E15"/>
    <mergeCell ref="B101:C101"/>
    <mergeCell ref="A102:A103"/>
    <mergeCell ref="C102:C103"/>
    <mergeCell ref="D102:D103"/>
    <mergeCell ref="F102:F103"/>
    <mergeCell ref="B94:C94"/>
    <mergeCell ref="A95:A96"/>
    <mergeCell ref="B95:C95"/>
    <mergeCell ref="D95:D96"/>
    <mergeCell ref="F95:F96"/>
    <mergeCell ref="B96:C96"/>
    <mergeCell ref="A90:A91"/>
    <mergeCell ref="C90:C91"/>
    <mergeCell ref="D90:D91"/>
    <mergeCell ref="F90:F91"/>
    <mergeCell ref="F92:F93"/>
    <mergeCell ref="A92:A93"/>
    <mergeCell ref="C92:C93"/>
    <mergeCell ref="I3:I6"/>
    <mergeCell ref="J3:P6"/>
    <mergeCell ref="E95:E96"/>
    <mergeCell ref="E99:E100"/>
    <mergeCell ref="E102:E103"/>
    <mergeCell ref="E104:E105"/>
    <mergeCell ref="E67:E68"/>
    <mergeCell ref="E70:E71"/>
    <mergeCell ref="E72:E73"/>
    <mergeCell ref="E74:E75"/>
    <mergeCell ref="E77:E78"/>
    <mergeCell ref="E79:E80"/>
    <mergeCell ref="F51:F52"/>
    <mergeCell ref="I28:I29"/>
    <mergeCell ref="G30:G31"/>
    <mergeCell ref="I30:I31"/>
    <mergeCell ref="G33:G34"/>
    <mergeCell ref="I33:I34"/>
    <mergeCell ref="G35:G36"/>
    <mergeCell ref="I35:I36"/>
    <mergeCell ref="G37:G38"/>
    <mergeCell ref="I37:I38"/>
    <mergeCell ref="G40:G41"/>
    <mergeCell ref="I40:I41"/>
  </mergeCells>
  <phoneticPr fontId="18" type="noConversion"/>
  <conditionalFormatting sqref="F16:F17">
    <cfRule type="cellIs" dxfId="28" priority="7" operator="equal">
      <formula>$I$16</formula>
    </cfRule>
  </conditionalFormatting>
  <conditionalFormatting sqref="F70:F71">
    <cfRule type="cellIs" dxfId="27" priority="6" operator="equal">
      <formula>$I$70</formula>
    </cfRule>
  </conditionalFormatting>
  <conditionalFormatting sqref="F83:F84">
    <cfRule type="cellIs" dxfId="26" priority="3" operator="equal">
      <formula>$I$83</formula>
    </cfRule>
  </conditionalFormatting>
  <conditionalFormatting sqref="F85:F86">
    <cfRule type="cellIs" dxfId="25" priority="2" operator="equal">
      <formula>$I$85</formula>
    </cfRule>
  </conditionalFormatting>
  <conditionalFormatting sqref="G7:G105">
    <cfRule type="containsText" dxfId="24" priority="1" operator="containsText" text="VERDADEIRO">
      <formula>NOT(ISERROR(SEARCH("VERDADEIRO",G7)))</formula>
    </cfRule>
  </conditionalFormatting>
  <pageMargins left="0.511811024" right="0.511811024" top="0.78740157499999996" bottom="0.78740157499999996" header="0.31496062000000002" footer="0.31496062000000002"/>
  <pageSetup paperSize="9" scale="18" orientation="portrait" r:id="rId1"/>
  <rowBreaks count="2" manualBreakCount="2">
    <brk id="61" max="4" man="1"/>
    <brk id="75" max="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'Validação de dados'!$D$1:$D$17</xm:f>
          </x14:formula1>
          <xm:sqref>A111:A126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>
    <tabColor rgb="FFFF6900"/>
    <pageSetUpPr fitToPage="1"/>
  </sheetPr>
  <dimension ref="A1:AF86"/>
  <sheetViews>
    <sheetView showGridLines="0" zoomScale="70" zoomScaleNormal="70" zoomScaleSheetLayoutView="80" workbookViewId="0">
      <selection activeCell="V3" sqref="V3:Y7"/>
    </sheetView>
  </sheetViews>
  <sheetFormatPr defaultColWidth="9.140625" defaultRowHeight="26.25" zeroHeight="1" x14ac:dyDescent="0.4"/>
  <cols>
    <col min="1" max="1" width="29.85546875" style="75" bestFit="1" customWidth="1"/>
    <col min="2" max="2" width="10.5703125" style="75" customWidth="1"/>
    <col min="3" max="3" width="41.7109375" style="75" customWidth="1"/>
    <col min="4" max="4" width="46.5703125" style="75" customWidth="1"/>
    <col min="5" max="5" width="57" style="75" customWidth="1"/>
    <col min="6" max="6" width="31.42578125" style="75" customWidth="1"/>
    <col min="7" max="7" width="41.42578125" style="75" customWidth="1"/>
    <col min="8" max="11" width="20" style="146" customWidth="1"/>
    <col min="12" max="12" width="15" style="155" customWidth="1"/>
    <col min="13" max="17" width="13.5703125" style="75" hidden="1" customWidth="1"/>
    <col min="18" max="18" width="9.140625" style="75" hidden="1" customWidth="1"/>
    <col min="19" max="20" width="13.5703125" style="75" hidden="1" customWidth="1"/>
    <col min="21" max="21" width="13.28515625" style="75" bestFit="1" customWidth="1"/>
    <col min="22" max="31" width="9.140625" style="75" customWidth="1"/>
    <col min="32" max="32" width="9.140625" style="87" customWidth="1"/>
    <col min="33" max="16384" width="9.140625" style="87"/>
  </cols>
  <sheetData>
    <row r="1" spans="1:32" ht="51.75" customHeight="1" x14ac:dyDescent="0.4">
      <c r="A1" s="349" t="s">
        <v>423</v>
      </c>
      <c r="B1" s="349"/>
      <c r="C1" s="349"/>
      <c r="D1" s="349"/>
      <c r="E1" s="349"/>
      <c r="F1" s="308"/>
      <c r="G1" s="308"/>
      <c r="H1" s="308"/>
      <c r="I1" s="308"/>
      <c r="J1" s="308"/>
      <c r="K1" s="349"/>
      <c r="L1" s="349"/>
    </row>
    <row r="2" spans="1:32" s="116" customFormat="1" x14ac:dyDescent="0.25">
      <c r="A2" s="334" t="str">
        <f>'Indicadores e Metas'!A2</f>
        <v>CAU/UF:  CAU/BA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1:32" s="116" customFormat="1" ht="47.25" customHeight="1" x14ac:dyDescent="0.25">
      <c r="A3" s="334" t="s">
        <v>379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115"/>
      <c r="N3" s="115"/>
      <c r="O3" s="115"/>
      <c r="P3" s="115"/>
      <c r="Q3" s="115"/>
      <c r="R3" s="115"/>
      <c r="S3" s="115"/>
      <c r="T3" s="115"/>
      <c r="U3" s="115"/>
      <c r="V3" s="430"/>
      <c r="W3" s="430"/>
      <c r="X3" s="430"/>
      <c r="Y3" s="430"/>
      <c r="Z3" s="297" t="s">
        <v>552</v>
      </c>
      <c r="AA3" s="297"/>
      <c r="AB3" s="297"/>
      <c r="AC3" s="297"/>
      <c r="AD3" s="297"/>
      <c r="AE3" s="297"/>
      <c r="AF3" s="297"/>
    </row>
    <row r="4" spans="1:32" s="101" customFormat="1" x14ac:dyDescent="0.4">
      <c r="A4" s="117"/>
      <c r="B4" s="117"/>
      <c r="C4" s="117"/>
      <c r="D4" s="117"/>
      <c r="E4" s="117"/>
      <c r="F4" s="117"/>
      <c r="G4" s="117"/>
      <c r="H4" s="143"/>
      <c r="I4" s="143"/>
      <c r="J4" s="143"/>
      <c r="K4" s="143"/>
      <c r="L4" s="152"/>
      <c r="M4" s="55"/>
      <c r="N4" s="55"/>
      <c r="O4" s="55"/>
      <c r="P4" s="55"/>
      <c r="Q4" s="55"/>
      <c r="R4" s="55"/>
      <c r="S4" s="55"/>
      <c r="T4" s="55"/>
      <c r="U4" s="55"/>
      <c r="V4" s="430"/>
      <c r="W4" s="430"/>
      <c r="X4" s="430"/>
      <c r="Y4" s="430"/>
      <c r="Z4" s="297"/>
      <c r="AA4" s="297"/>
      <c r="AB4" s="297"/>
      <c r="AC4" s="297"/>
      <c r="AD4" s="297"/>
      <c r="AE4" s="297"/>
      <c r="AF4" s="297"/>
    </row>
    <row r="5" spans="1:32" s="116" customFormat="1" x14ac:dyDescent="0.25">
      <c r="A5" s="350" t="s">
        <v>63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115"/>
      <c r="N5" s="115"/>
      <c r="O5" s="115"/>
      <c r="P5" s="115"/>
      <c r="Q5" s="115"/>
      <c r="R5" s="115"/>
      <c r="S5" s="115"/>
      <c r="T5" s="115"/>
      <c r="U5" s="115"/>
      <c r="V5" s="430"/>
      <c r="W5" s="430"/>
      <c r="X5" s="430"/>
      <c r="Y5" s="430"/>
      <c r="Z5" s="297"/>
      <c r="AA5" s="297"/>
      <c r="AB5" s="297"/>
      <c r="AC5" s="297"/>
      <c r="AD5" s="297"/>
      <c r="AE5" s="297"/>
      <c r="AF5" s="297"/>
    </row>
    <row r="6" spans="1:32" s="116" customFormat="1" ht="26.25" customHeight="1" x14ac:dyDescent="0.25">
      <c r="A6" s="267" t="s">
        <v>4</v>
      </c>
      <c r="B6" s="267" t="s">
        <v>144</v>
      </c>
      <c r="C6" s="267" t="s">
        <v>5</v>
      </c>
      <c r="D6" s="267" t="s">
        <v>51</v>
      </c>
      <c r="E6" s="267" t="s">
        <v>33</v>
      </c>
      <c r="F6" s="267" t="s">
        <v>271</v>
      </c>
      <c r="G6" s="267" t="s">
        <v>64</v>
      </c>
      <c r="H6" s="346" t="s">
        <v>389</v>
      </c>
      <c r="I6" s="346" t="s">
        <v>390</v>
      </c>
      <c r="J6" s="346" t="s">
        <v>546</v>
      </c>
      <c r="K6" s="267" t="s">
        <v>378</v>
      </c>
      <c r="L6" s="267"/>
      <c r="M6" s="115"/>
      <c r="N6" s="115"/>
      <c r="O6" s="115"/>
      <c r="P6" s="115"/>
      <c r="Q6" s="115"/>
      <c r="R6" s="115"/>
      <c r="S6" s="115"/>
      <c r="T6" s="115"/>
      <c r="U6" s="115"/>
      <c r="V6" s="430"/>
      <c r="W6" s="430"/>
      <c r="X6" s="430"/>
      <c r="Y6" s="430"/>
      <c r="Z6" s="297"/>
      <c r="AA6" s="297"/>
      <c r="AB6" s="297"/>
      <c r="AC6" s="297"/>
      <c r="AD6" s="297"/>
      <c r="AE6" s="297"/>
      <c r="AF6" s="297"/>
    </row>
    <row r="7" spans="1:32" s="116" customFormat="1" ht="48.75" customHeight="1" x14ac:dyDescent="0.25">
      <c r="A7" s="267"/>
      <c r="B7" s="267"/>
      <c r="C7" s="267"/>
      <c r="D7" s="267"/>
      <c r="E7" s="267"/>
      <c r="F7" s="267"/>
      <c r="G7" s="267"/>
      <c r="H7" s="346"/>
      <c r="I7" s="346"/>
      <c r="J7" s="346"/>
      <c r="K7" s="144" t="s">
        <v>547</v>
      </c>
      <c r="L7" s="153" t="s">
        <v>548</v>
      </c>
      <c r="M7" s="115"/>
      <c r="N7" s="115"/>
      <c r="O7" s="115"/>
      <c r="P7" s="115"/>
      <c r="Q7" s="115"/>
      <c r="R7" s="115" t="s">
        <v>545</v>
      </c>
      <c r="S7" s="115"/>
      <c r="T7" s="115"/>
      <c r="U7" s="115"/>
      <c r="V7" s="430"/>
      <c r="W7" s="430"/>
      <c r="X7" s="430"/>
      <c r="Y7" s="430"/>
      <c r="Z7" s="297"/>
      <c r="AA7" s="297"/>
      <c r="AB7" s="297"/>
      <c r="AC7" s="297"/>
      <c r="AD7" s="297"/>
      <c r="AE7" s="297"/>
      <c r="AF7" s="297"/>
    </row>
    <row r="8" spans="1:32" s="116" customFormat="1" ht="63" x14ac:dyDescent="0.25">
      <c r="A8" s="7" t="s">
        <v>433</v>
      </c>
      <c r="B8" s="251" t="s">
        <v>275</v>
      </c>
      <c r="C8" s="7" t="s">
        <v>452</v>
      </c>
      <c r="D8" s="7" t="s">
        <v>481</v>
      </c>
      <c r="E8" s="7" t="s">
        <v>24</v>
      </c>
      <c r="F8" s="7" t="s">
        <v>97</v>
      </c>
      <c r="G8" s="61" t="s">
        <v>511</v>
      </c>
      <c r="H8" s="147">
        <v>283857.27</v>
      </c>
      <c r="I8" s="147">
        <v>325805.32</v>
      </c>
      <c r="J8" s="147">
        <f>'Anexo 3. Elemento de Despesas'!P7</f>
        <v>0</v>
      </c>
      <c r="K8" s="148">
        <f>I8-H8</f>
        <v>41948.049999999988</v>
      </c>
      <c r="L8" s="150">
        <f>IFERROR(K8/H8,)</f>
        <v>0.14777867059737446</v>
      </c>
      <c r="M8" s="115" t="b">
        <f>A8='[2]Quadro Geral'!A8</f>
        <v>1</v>
      </c>
      <c r="N8" s="115" t="b">
        <f>B8='[2]Quadro Geral'!B8</f>
        <v>1</v>
      </c>
      <c r="O8" s="115" t="b">
        <f>C8='[2]Quadro Geral'!D8</f>
        <v>1</v>
      </c>
      <c r="P8" s="115" t="b">
        <f>D8='[2]Quadro Geral'!E8</f>
        <v>1</v>
      </c>
      <c r="Q8" s="115" t="b">
        <f>E8='[2]Quadro Geral'!F8</f>
        <v>1</v>
      </c>
      <c r="R8" s="115" t="b">
        <f>F8='[2]Quadro Geral'!G8</f>
        <v>0</v>
      </c>
      <c r="S8" s="115" t="b">
        <f>G8='[2]Quadro Geral'!H8</f>
        <v>1</v>
      </c>
      <c r="T8" s="115" t="b">
        <f>H8='[2]Quadro Geral'!L8</f>
        <v>1</v>
      </c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</row>
    <row r="9" spans="1:32" s="116" customFormat="1" ht="110.25" x14ac:dyDescent="0.25">
      <c r="A9" s="7" t="s">
        <v>434</v>
      </c>
      <c r="B9" s="251" t="s">
        <v>275</v>
      </c>
      <c r="C9" s="7" t="s">
        <v>453</v>
      </c>
      <c r="D9" s="7" t="s">
        <v>482</v>
      </c>
      <c r="E9" s="7" t="s">
        <v>30</v>
      </c>
      <c r="F9" s="7" t="s">
        <v>97</v>
      </c>
      <c r="G9" s="7" t="s">
        <v>512</v>
      </c>
      <c r="H9" s="147">
        <v>1316862.75</v>
      </c>
      <c r="I9" s="147">
        <v>732417.61</v>
      </c>
      <c r="J9" s="147">
        <f>'Anexo 3. Elemento de Despesas'!P8</f>
        <v>0</v>
      </c>
      <c r="K9" s="148">
        <f t="shared" ref="K9:K39" si="0">I9-H9</f>
        <v>-584445.14</v>
      </c>
      <c r="L9" s="150">
        <f t="shared" ref="L9:L39" si="1">IFERROR(K9/H9,)</f>
        <v>-0.4438162898904992</v>
      </c>
      <c r="M9" s="115" t="b">
        <f>A9='[2]Quadro Geral'!A9</f>
        <v>1</v>
      </c>
      <c r="N9" s="115" t="b">
        <f>B9='[2]Quadro Geral'!B9</f>
        <v>1</v>
      </c>
      <c r="O9" s="115" t="b">
        <f>C9='[2]Quadro Geral'!D9</f>
        <v>1</v>
      </c>
      <c r="P9" s="115" t="b">
        <f>D9='[2]Quadro Geral'!E9</f>
        <v>1</v>
      </c>
      <c r="Q9" s="115" t="b">
        <f>E9='[2]Quadro Geral'!F9</f>
        <v>1</v>
      </c>
      <c r="R9" s="115" t="b">
        <f>F9='[2]Quadro Geral'!G9</f>
        <v>0</v>
      </c>
      <c r="S9" s="115" t="b">
        <f>G9='[2]Quadro Geral'!H9</f>
        <v>1</v>
      </c>
      <c r="T9" s="115" t="b">
        <f>H9='[2]Quadro Geral'!L9</f>
        <v>1</v>
      </c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0" spans="1:32" s="116" customFormat="1" ht="47.25" x14ac:dyDescent="0.25">
      <c r="A10" s="7" t="s">
        <v>435</v>
      </c>
      <c r="B10" s="251" t="s">
        <v>275</v>
      </c>
      <c r="C10" s="7" t="s">
        <v>454</v>
      </c>
      <c r="D10" s="7" t="s">
        <v>483</v>
      </c>
      <c r="E10" s="7" t="s">
        <v>109</v>
      </c>
      <c r="F10" s="7" t="s">
        <v>93</v>
      </c>
      <c r="G10" s="7" t="s">
        <v>513</v>
      </c>
      <c r="H10" s="147">
        <v>245824.94</v>
      </c>
      <c r="I10" s="147">
        <v>385251.54</v>
      </c>
      <c r="J10" s="147">
        <f>'Anexo 3. Elemento de Despesas'!P9</f>
        <v>0</v>
      </c>
      <c r="K10" s="148">
        <f t="shared" si="0"/>
        <v>139426.59999999998</v>
      </c>
      <c r="L10" s="150">
        <f t="shared" si="1"/>
        <v>0.5671784156644154</v>
      </c>
      <c r="M10" s="115" t="b">
        <f>A10='[2]Quadro Geral'!A10</f>
        <v>1</v>
      </c>
      <c r="N10" s="115" t="b">
        <f>B10='[2]Quadro Geral'!B10</f>
        <v>1</v>
      </c>
      <c r="O10" s="115" t="b">
        <f>C10='[2]Quadro Geral'!D10</f>
        <v>1</v>
      </c>
      <c r="P10" s="115" t="b">
        <f>D10='[2]Quadro Geral'!E10</f>
        <v>1</v>
      </c>
      <c r="Q10" s="115" t="b">
        <f>E10='[2]Quadro Geral'!F10</f>
        <v>1</v>
      </c>
      <c r="R10" s="115" t="b">
        <f>F10='[2]Quadro Geral'!G10</f>
        <v>0</v>
      </c>
      <c r="S10" s="115" t="b">
        <f>G10='[2]Quadro Geral'!H10</f>
        <v>1</v>
      </c>
      <c r="T10" s="115" t="b">
        <f>H10='[2]Quadro Geral'!L10</f>
        <v>1</v>
      </c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</row>
    <row r="11" spans="1:32" s="116" customFormat="1" ht="78.75" x14ac:dyDescent="0.25">
      <c r="A11" s="7" t="s">
        <v>436</v>
      </c>
      <c r="B11" s="251" t="s">
        <v>275</v>
      </c>
      <c r="C11" s="7" t="s">
        <v>455</v>
      </c>
      <c r="D11" s="7" t="s">
        <v>484</v>
      </c>
      <c r="E11" s="7" t="s">
        <v>25</v>
      </c>
      <c r="F11" s="7" t="s">
        <v>97</v>
      </c>
      <c r="G11" s="7" t="s">
        <v>514</v>
      </c>
      <c r="H11" s="147">
        <v>140828.34</v>
      </c>
      <c r="I11" s="147">
        <v>223039.1</v>
      </c>
      <c r="J11" s="147">
        <f>'Anexo 3. Elemento de Despesas'!P10</f>
        <v>0</v>
      </c>
      <c r="K11" s="148">
        <f t="shared" si="0"/>
        <v>82210.760000000009</v>
      </c>
      <c r="L11" s="150">
        <f t="shared" si="1"/>
        <v>0.5837657391970964</v>
      </c>
      <c r="M11" s="115" t="b">
        <f>A11='[2]Quadro Geral'!A11</f>
        <v>1</v>
      </c>
      <c r="N11" s="115" t="b">
        <f>B11='[2]Quadro Geral'!B11</f>
        <v>1</v>
      </c>
      <c r="O11" s="115" t="b">
        <f>C11='[2]Quadro Geral'!D11</f>
        <v>1</v>
      </c>
      <c r="P11" s="115" t="b">
        <f>D11='[2]Quadro Geral'!E11</f>
        <v>1</v>
      </c>
      <c r="Q11" s="115" t="b">
        <f>E11='[2]Quadro Geral'!F11</f>
        <v>1</v>
      </c>
      <c r="R11" s="115" t="b">
        <f>F11='[2]Quadro Geral'!G11</f>
        <v>0</v>
      </c>
      <c r="S11" s="115" t="b">
        <f>G11='[2]Quadro Geral'!H11</f>
        <v>1</v>
      </c>
      <c r="T11" s="115" t="b">
        <f>H11='[2]Quadro Geral'!L11</f>
        <v>1</v>
      </c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</row>
    <row r="12" spans="1:32" s="116" customFormat="1" ht="63" x14ac:dyDescent="0.25">
      <c r="A12" s="7" t="s">
        <v>437</v>
      </c>
      <c r="B12" s="251" t="s">
        <v>275</v>
      </c>
      <c r="C12" s="7" t="s">
        <v>456</v>
      </c>
      <c r="D12" s="7" t="s">
        <v>485</v>
      </c>
      <c r="E12" s="7" t="s">
        <v>27</v>
      </c>
      <c r="F12" s="7" t="s">
        <v>93</v>
      </c>
      <c r="G12" s="7" t="s">
        <v>515</v>
      </c>
      <c r="H12" s="147">
        <v>437377.88</v>
      </c>
      <c r="I12" s="147">
        <v>548413.03</v>
      </c>
      <c r="J12" s="147">
        <f>'Anexo 3. Elemento de Despesas'!P11</f>
        <v>0</v>
      </c>
      <c r="K12" s="148">
        <f t="shared" si="0"/>
        <v>111035.15000000002</v>
      </c>
      <c r="L12" s="150">
        <f t="shared" si="1"/>
        <v>0.25386549040843132</v>
      </c>
      <c r="M12" s="115" t="b">
        <f>A12='[2]Quadro Geral'!A12</f>
        <v>1</v>
      </c>
      <c r="N12" s="115" t="b">
        <f>B12='[2]Quadro Geral'!B12</f>
        <v>1</v>
      </c>
      <c r="O12" s="115" t="b">
        <f>C12='[2]Quadro Geral'!D12</f>
        <v>1</v>
      </c>
      <c r="P12" s="115" t="b">
        <f>D12='[2]Quadro Geral'!E12</f>
        <v>1</v>
      </c>
      <c r="Q12" s="115" t="b">
        <f>E12='[2]Quadro Geral'!F12</f>
        <v>1</v>
      </c>
      <c r="R12" s="115" t="b">
        <f>F12='[2]Quadro Geral'!G12</f>
        <v>0</v>
      </c>
      <c r="S12" s="115" t="b">
        <f>G12='[2]Quadro Geral'!H12</f>
        <v>1</v>
      </c>
      <c r="T12" s="115" t="b">
        <f>H12='[2]Quadro Geral'!L12</f>
        <v>1</v>
      </c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</row>
    <row r="13" spans="1:32" s="116" customFormat="1" ht="63" x14ac:dyDescent="0.25">
      <c r="A13" s="7" t="s">
        <v>438</v>
      </c>
      <c r="B13" s="251" t="s">
        <v>275</v>
      </c>
      <c r="C13" s="7" t="s">
        <v>457</v>
      </c>
      <c r="D13" s="7" t="s">
        <v>486</v>
      </c>
      <c r="E13" s="7" t="s">
        <v>28</v>
      </c>
      <c r="F13" s="7" t="s">
        <v>97</v>
      </c>
      <c r="G13" s="7" t="s">
        <v>516</v>
      </c>
      <c r="H13" s="147">
        <v>261015.67999999999</v>
      </c>
      <c r="I13" s="147">
        <v>360087.03999999998</v>
      </c>
      <c r="J13" s="147">
        <f>'Anexo 3. Elemento de Despesas'!P12</f>
        <v>0</v>
      </c>
      <c r="K13" s="148">
        <f t="shared" si="0"/>
        <v>99071.359999999986</v>
      </c>
      <c r="L13" s="150">
        <f t="shared" si="1"/>
        <v>0.37956095204701873</v>
      </c>
      <c r="M13" s="115" t="b">
        <f>A13='[2]Quadro Geral'!A13</f>
        <v>1</v>
      </c>
      <c r="N13" s="115" t="b">
        <f>B13='[2]Quadro Geral'!B13</f>
        <v>1</v>
      </c>
      <c r="O13" s="115" t="b">
        <f>C13='[2]Quadro Geral'!D13</f>
        <v>1</v>
      </c>
      <c r="P13" s="115" t="b">
        <f>D13='[2]Quadro Geral'!E13</f>
        <v>1</v>
      </c>
      <c r="Q13" s="115" t="b">
        <f>E13='[2]Quadro Geral'!F13</f>
        <v>1</v>
      </c>
      <c r="R13" s="115" t="b">
        <f>F13='[2]Quadro Geral'!G13</f>
        <v>0</v>
      </c>
      <c r="S13" s="115" t="b">
        <f>G13='[2]Quadro Geral'!H13</f>
        <v>1</v>
      </c>
      <c r="T13" s="115" t="b">
        <f>H13='[2]Quadro Geral'!L13</f>
        <v>1</v>
      </c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</row>
    <row r="14" spans="1:32" s="116" customFormat="1" ht="47.25" x14ac:dyDescent="0.25">
      <c r="A14" s="7" t="s">
        <v>439</v>
      </c>
      <c r="B14" s="251" t="s">
        <v>275</v>
      </c>
      <c r="C14" s="7" t="s">
        <v>458</v>
      </c>
      <c r="D14" s="7" t="s">
        <v>487</v>
      </c>
      <c r="E14" s="7" t="s">
        <v>25</v>
      </c>
      <c r="F14" s="7" t="s">
        <v>97</v>
      </c>
      <c r="G14" s="7" t="s">
        <v>517</v>
      </c>
      <c r="H14" s="147">
        <v>229463.62</v>
      </c>
      <c r="I14" s="147">
        <v>201390.2</v>
      </c>
      <c r="J14" s="147">
        <f>'Anexo 3. Elemento de Despesas'!P13</f>
        <v>0</v>
      </c>
      <c r="K14" s="148">
        <f t="shared" si="0"/>
        <v>-28073.419999999984</v>
      </c>
      <c r="L14" s="150">
        <f t="shared" si="1"/>
        <v>-0.12234366388885516</v>
      </c>
      <c r="M14" s="115" t="b">
        <f>A14='[2]Quadro Geral'!A14</f>
        <v>1</v>
      </c>
      <c r="N14" s="115" t="b">
        <f>B14='[2]Quadro Geral'!B14</f>
        <v>1</v>
      </c>
      <c r="O14" s="115" t="b">
        <f>C14='[2]Quadro Geral'!D14</f>
        <v>1</v>
      </c>
      <c r="P14" s="115" t="b">
        <f>D14='[2]Quadro Geral'!E14</f>
        <v>1</v>
      </c>
      <c r="Q14" s="115" t="b">
        <f>E14='[2]Quadro Geral'!F14</f>
        <v>1</v>
      </c>
      <c r="R14" s="115" t="b">
        <f>F14='[2]Quadro Geral'!G14</f>
        <v>0</v>
      </c>
      <c r="S14" s="115" t="b">
        <f>G14='[2]Quadro Geral'!H14</f>
        <v>1</v>
      </c>
      <c r="T14" s="115" t="b">
        <f>H14='[2]Quadro Geral'!L14</f>
        <v>1</v>
      </c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</row>
    <row r="15" spans="1:32" s="116" customFormat="1" ht="47.25" x14ac:dyDescent="0.25">
      <c r="A15" s="7" t="s">
        <v>440</v>
      </c>
      <c r="B15" s="251" t="s">
        <v>275</v>
      </c>
      <c r="C15" s="7" t="s">
        <v>459</v>
      </c>
      <c r="D15" s="7" t="s">
        <v>488</v>
      </c>
      <c r="E15" s="7" t="s">
        <v>28</v>
      </c>
      <c r="F15" s="7" t="s">
        <v>103</v>
      </c>
      <c r="G15" s="7" t="s">
        <v>518</v>
      </c>
      <c r="H15" s="147">
        <v>75000</v>
      </c>
      <c r="I15" s="147">
        <v>18000</v>
      </c>
      <c r="J15" s="147">
        <f>'Anexo 3. Elemento de Despesas'!P14</f>
        <v>0</v>
      </c>
      <c r="K15" s="148">
        <f t="shared" si="0"/>
        <v>-57000</v>
      </c>
      <c r="L15" s="150">
        <f t="shared" si="1"/>
        <v>-0.76</v>
      </c>
      <c r="M15" s="115" t="b">
        <f>A15='[2]Quadro Geral'!A15</f>
        <v>1</v>
      </c>
      <c r="N15" s="115" t="b">
        <f>B15='[2]Quadro Geral'!B15</f>
        <v>1</v>
      </c>
      <c r="O15" s="115" t="b">
        <f>C15='[2]Quadro Geral'!D15</f>
        <v>1</v>
      </c>
      <c r="P15" s="115" t="b">
        <f>D15='[2]Quadro Geral'!E15</f>
        <v>1</v>
      </c>
      <c r="Q15" s="115" t="b">
        <f>E15='[2]Quadro Geral'!F15</f>
        <v>1</v>
      </c>
      <c r="R15" s="115" t="b">
        <f>F15='[2]Quadro Geral'!G15</f>
        <v>0</v>
      </c>
      <c r="S15" s="115" t="b">
        <f>G15='[2]Quadro Geral'!H15</f>
        <v>1</v>
      </c>
      <c r="T15" s="115" t="b">
        <f>H15='[2]Quadro Geral'!L15</f>
        <v>1</v>
      </c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</row>
    <row r="16" spans="1:32" s="116" customFormat="1" ht="110.25" x14ac:dyDescent="0.25">
      <c r="A16" s="7" t="s">
        <v>441</v>
      </c>
      <c r="B16" s="251" t="s">
        <v>275</v>
      </c>
      <c r="C16" s="7" t="s">
        <v>460</v>
      </c>
      <c r="D16" s="7" t="s">
        <v>489</v>
      </c>
      <c r="E16" s="7" t="s">
        <v>19</v>
      </c>
      <c r="F16" s="7" t="s">
        <v>93</v>
      </c>
      <c r="G16" s="7" t="s">
        <v>519</v>
      </c>
      <c r="H16" s="147">
        <v>90000</v>
      </c>
      <c r="I16" s="147">
        <v>24000</v>
      </c>
      <c r="J16" s="147">
        <f>'Anexo 3. Elemento de Despesas'!P15</f>
        <v>0</v>
      </c>
      <c r="K16" s="148">
        <f t="shared" si="0"/>
        <v>-66000</v>
      </c>
      <c r="L16" s="150">
        <f t="shared" si="1"/>
        <v>-0.73333333333333328</v>
      </c>
      <c r="M16" s="115" t="b">
        <f>A16='[2]Quadro Geral'!A16</f>
        <v>1</v>
      </c>
      <c r="N16" s="115" t="b">
        <f>B16='[2]Quadro Geral'!B16</f>
        <v>1</v>
      </c>
      <c r="O16" s="115" t="b">
        <f>C16='[2]Quadro Geral'!D16</f>
        <v>1</v>
      </c>
      <c r="P16" s="115" t="b">
        <f>D16='[2]Quadro Geral'!E16</f>
        <v>1</v>
      </c>
      <c r="Q16" s="115" t="b">
        <f>E16='[2]Quadro Geral'!F16</f>
        <v>1</v>
      </c>
      <c r="R16" s="115" t="b">
        <f>F16='[2]Quadro Geral'!G16</f>
        <v>0</v>
      </c>
      <c r="S16" s="115" t="b">
        <f>G16='[2]Quadro Geral'!H16</f>
        <v>1</v>
      </c>
      <c r="T16" s="115" t="b">
        <f>H16='[2]Quadro Geral'!L16</f>
        <v>1</v>
      </c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</row>
    <row r="17" spans="1:31" s="116" customFormat="1" ht="47.25" x14ac:dyDescent="0.25">
      <c r="A17" s="7" t="s">
        <v>442</v>
      </c>
      <c r="B17" s="251" t="s">
        <v>275</v>
      </c>
      <c r="C17" s="7" t="s">
        <v>461</v>
      </c>
      <c r="D17" s="7" t="s">
        <v>490</v>
      </c>
      <c r="E17" s="7" t="s">
        <v>27</v>
      </c>
      <c r="F17" s="7" t="s">
        <v>93</v>
      </c>
      <c r="G17" s="7" t="s">
        <v>520</v>
      </c>
      <c r="H17" s="147">
        <v>75000</v>
      </c>
      <c r="I17" s="147">
        <v>18000</v>
      </c>
      <c r="J17" s="147">
        <f>'Anexo 3. Elemento de Despesas'!P16</f>
        <v>0</v>
      </c>
      <c r="K17" s="148">
        <f t="shared" si="0"/>
        <v>-57000</v>
      </c>
      <c r="L17" s="150">
        <f t="shared" si="1"/>
        <v>-0.76</v>
      </c>
      <c r="M17" s="115" t="b">
        <f>A17='[2]Quadro Geral'!A17</f>
        <v>1</v>
      </c>
      <c r="N17" s="115" t="b">
        <f>B17='[2]Quadro Geral'!B17</f>
        <v>1</v>
      </c>
      <c r="O17" s="115" t="b">
        <f>C17='[2]Quadro Geral'!D17</f>
        <v>1</v>
      </c>
      <c r="P17" s="115" t="b">
        <f>D17='[2]Quadro Geral'!E17</f>
        <v>1</v>
      </c>
      <c r="Q17" s="115" t="b">
        <f>E17='[2]Quadro Geral'!F17</f>
        <v>1</v>
      </c>
      <c r="R17" s="115" t="b">
        <f>F17='[2]Quadro Geral'!G17</f>
        <v>0</v>
      </c>
      <c r="S17" s="115" t="b">
        <f>G17='[2]Quadro Geral'!H17</f>
        <v>1</v>
      </c>
      <c r="T17" s="115" t="b">
        <f>H17='[2]Quadro Geral'!L17</f>
        <v>1</v>
      </c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</row>
    <row r="18" spans="1:31" s="116" customFormat="1" ht="63" x14ac:dyDescent="0.25">
      <c r="A18" s="7" t="s">
        <v>443</v>
      </c>
      <c r="B18" s="251" t="s">
        <v>275</v>
      </c>
      <c r="C18" s="7" t="s">
        <v>462</v>
      </c>
      <c r="D18" s="7" t="s">
        <v>491</v>
      </c>
      <c r="E18" s="7" t="s">
        <v>121</v>
      </c>
      <c r="F18" s="7" t="s">
        <v>93</v>
      </c>
      <c r="G18" s="7" t="s">
        <v>521</v>
      </c>
      <c r="H18" s="147">
        <v>80000</v>
      </c>
      <c r="I18" s="147">
        <v>86700</v>
      </c>
      <c r="J18" s="147">
        <f>'Anexo 3. Elemento de Despesas'!P17</f>
        <v>0</v>
      </c>
      <c r="K18" s="148">
        <f t="shared" si="0"/>
        <v>6700</v>
      </c>
      <c r="L18" s="150">
        <f t="shared" si="1"/>
        <v>8.3750000000000005E-2</v>
      </c>
      <c r="M18" s="115" t="b">
        <f>A18='[2]Quadro Geral'!A18</f>
        <v>1</v>
      </c>
      <c r="N18" s="115" t="b">
        <f>B18='[2]Quadro Geral'!B18</f>
        <v>1</v>
      </c>
      <c r="O18" s="115" t="b">
        <f>C18='[2]Quadro Geral'!D18</f>
        <v>1</v>
      </c>
      <c r="P18" s="115" t="b">
        <f>D18='[2]Quadro Geral'!E18</f>
        <v>1</v>
      </c>
      <c r="Q18" s="115" t="b">
        <f>E18='[2]Quadro Geral'!F18</f>
        <v>1</v>
      </c>
      <c r="R18" s="115" t="b">
        <f>F18='[2]Quadro Geral'!G18</f>
        <v>0</v>
      </c>
      <c r="S18" s="115" t="b">
        <f>G18='[2]Quadro Geral'!H18</f>
        <v>1</v>
      </c>
      <c r="T18" s="115" t="b">
        <f>H18='[2]Quadro Geral'!L18</f>
        <v>1</v>
      </c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</row>
    <row r="19" spans="1:31" s="116" customFormat="1" ht="63" x14ac:dyDescent="0.25">
      <c r="A19" s="7" t="s">
        <v>444</v>
      </c>
      <c r="B19" s="251" t="s">
        <v>275</v>
      </c>
      <c r="C19" s="7" t="s">
        <v>463</v>
      </c>
      <c r="D19" s="7" t="s">
        <v>492</v>
      </c>
      <c r="E19" s="7" t="s">
        <v>28</v>
      </c>
      <c r="F19" s="7" t="s">
        <v>93</v>
      </c>
      <c r="G19" s="7" t="s">
        <v>522</v>
      </c>
      <c r="H19" s="147">
        <v>40000</v>
      </c>
      <c r="I19" s="147">
        <v>35000</v>
      </c>
      <c r="J19" s="147">
        <f>'Anexo 3. Elemento de Despesas'!P18</f>
        <v>0</v>
      </c>
      <c r="K19" s="148">
        <f t="shared" si="0"/>
        <v>-5000</v>
      </c>
      <c r="L19" s="150">
        <f t="shared" si="1"/>
        <v>-0.125</v>
      </c>
      <c r="M19" s="115" t="b">
        <f>A19='[2]Quadro Geral'!A19</f>
        <v>1</v>
      </c>
      <c r="N19" s="115" t="b">
        <f>B19='[2]Quadro Geral'!B19</f>
        <v>1</v>
      </c>
      <c r="O19" s="115" t="b">
        <f>C19='[2]Quadro Geral'!D19</f>
        <v>1</v>
      </c>
      <c r="P19" s="115" t="b">
        <f>D19='[2]Quadro Geral'!E19</f>
        <v>1</v>
      </c>
      <c r="Q19" s="115" t="b">
        <f>E19='[2]Quadro Geral'!F19</f>
        <v>1</v>
      </c>
      <c r="R19" s="115" t="b">
        <f>F19='[2]Quadro Geral'!G19</f>
        <v>0</v>
      </c>
      <c r="S19" s="115" t="b">
        <f>G19='[2]Quadro Geral'!H19</f>
        <v>1</v>
      </c>
      <c r="T19" s="115" t="b">
        <f>H19='[2]Quadro Geral'!L19</f>
        <v>1</v>
      </c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</row>
    <row r="20" spans="1:31" s="116" customFormat="1" ht="47.25" x14ac:dyDescent="0.25">
      <c r="A20" s="7" t="s">
        <v>445</v>
      </c>
      <c r="B20" s="251" t="s">
        <v>275</v>
      </c>
      <c r="C20" s="7" t="s">
        <v>464</v>
      </c>
      <c r="D20" s="7" t="s">
        <v>493</v>
      </c>
      <c r="E20" s="7" t="s">
        <v>115</v>
      </c>
      <c r="F20" s="7" t="s">
        <v>93</v>
      </c>
      <c r="G20" s="7" t="s">
        <v>523</v>
      </c>
      <c r="H20" s="147">
        <v>181549.92</v>
      </c>
      <c r="I20" s="147">
        <v>130000</v>
      </c>
      <c r="J20" s="147">
        <f>'Anexo 3. Elemento de Despesas'!P19</f>
        <v>0</v>
      </c>
      <c r="K20" s="148">
        <f t="shared" si="0"/>
        <v>-51549.920000000013</v>
      </c>
      <c r="L20" s="150">
        <f t="shared" si="1"/>
        <v>-0.28394350160000076</v>
      </c>
      <c r="M20" s="115" t="b">
        <f>A20='[2]Quadro Geral'!A21</f>
        <v>1</v>
      </c>
      <c r="N20" s="115" t="b">
        <f>B20='[2]Quadro Geral'!B21</f>
        <v>1</v>
      </c>
      <c r="O20" s="115" t="b">
        <f>C20='[2]Quadro Geral'!D21</f>
        <v>1</v>
      </c>
      <c r="P20" s="115" t="b">
        <f>D20='[2]Quadro Geral'!E21</f>
        <v>1</v>
      </c>
      <c r="Q20" s="115" t="b">
        <f>E20='[2]Quadro Geral'!F21</f>
        <v>1</v>
      </c>
      <c r="R20" s="115" t="b">
        <f>F20='[2]Quadro Geral'!G21</f>
        <v>0</v>
      </c>
      <c r="S20" s="115" t="b">
        <f>G20='[2]Quadro Geral'!H21</f>
        <v>1</v>
      </c>
      <c r="T20" s="115" t="b">
        <f>H20='[2]Quadro Geral'!$L$21</f>
        <v>1</v>
      </c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</row>
    <row r="21" spans="1:31" s="116" customFormat="1" ht="78.75" x14ac:dyDescent="0.25">
      <c r="A21" s="7" t="s">
        <v>445</v>
      </c>
      <c r="B21" s="251" t="s">
        <v>274</v>
      </c>
      <c r="C21" s="7" t="s">
        <v>465</v>
      </c>
      <c r="D21" s="7" t="s">
        <v>494</v>
      </c>
      <c r="E21" s="7" t="s">
        <v>24</v>
      </c>
      <c r="F21" s="7" t="s">
        <v>97</v>
      </c>
      <c r="G21" s="7" t="s">
        <v>524</v>
      </c>
      <c r="H21" s="147">
        <v>100000</v>
      </c>
      <c r="I21" s="147">
        <v>100000</v>
      </c>
      <c r="J21" s="147">
        <f>'Anexo 3. Elemento de Despesas'!P20</f>
        <v>0</v>
      </c>
      <c r="K21" s="148">
        <f t="shared" si="0"/>
        <v>0</v>
      </c>
      <c r="L21" s="150">
        <f t="shared" si="1"/>
        <v>0</v>
      </c>
      <c r="M21" s="115" t="b">
        <f>A21='[2]Quadro Geral'!A22</f>
        <v>1</v>
      </c>
      <c r="N21" s="115" t="b">
        <f>B21='[2]Quadro Geral'!B22</f>
        <v>1</v>
      </c>
      <c r="O21" s="115" t="b">
        <f>C21='[2]Quadro Geral'!D22</f>
        <v>1</v>
      </c>
      <c r="P21" s="115" t="b">
        <f>D21='[2]Quadro Geral'!E22</f>
        <v>1</v>
      </c>
      <c r="Q21" s="115" t="b">
        <f>E21='[2]Quadro Geral'!F22</f>
        <v>1</v>
      </c>
      <c r="R21" s="115" t="b">
        <f>F21='[2]Quadro Geral'!G22</f>
        <v>0</v>
      </c>
      <c r="S21" s="115" t="b">
        <f>G21='[2]Quadro Geral'!H22</f>
        <v>1</v>
      </c>
      <c r="T21" s="115" t="b">
        <f>H21='[2]Quadro Geral'!$L$22</f>
        <v>1</v>
      </c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</row>
    <row r="22" spans="1:31" s="116" customFormat="1" ht="47.25" x14ac:dyDescent="0.25">
      <c r="A22" s="7" t="s">
        <v>445</v>
      </c>
      <c r="B22" s="251" t="s">
        <v>274</v>
      </c>
      <c r="C22" s="7" t="s">
        <v>466</v>
      </c>
      <c r="D22" s="7" t="s">
        <v>495</v>
      </c>
      <c r="E22" s="7" t="s">
        <v>21</v>
      </c>
      <c r="F22" s="7" t="s">
        <v>98</v>
      </c>
      <c r="G22" s="7" t="s">
        <v>525</v>
      </c>
      <c r="H22" s="147">
        <v>100000</v>
      </c>
      <c r="I22" s="147">
        <v>100000</v>
      </c>
      <c r="J22" s="147">
        <f>'Anexo 3. Elemento de Despesas'!P21</f>
        <v>0</v>
      </c>
      <c r="K22" s="148">
        <f t="shared" si="0"/>
        <v>0</v>
      </c>
      <c r="L22" s="150">
        <f t="shared" si="1"/>
        <v>0</v>
      </c>
      <c r="M22" s="115" t="b">
        <f>A22='[2]Quadro Geral'!A24</f>
        <v>1</v>
      </c>
      <c r="N22" s="115" t="b">
        <f>B22='[2]Quadro Geral'!B24</f>
        <v>1</v>
      </c>
      <c r="O22" s="115" t="b">
        <f>C22='[2]Quadro Geral'!D24</f>
        <v>1</v>
      </c>
      <c r="P22" s="115" t="b">
        <f>D22='[2]Quadro Geral'!E24</f>
        <v>1</v>
      </c>
      <c r="Q22" s="115" t="b">
        <f>E22='[2]Quadro Geral'!F24</f>
        <v>1</v>
      </c>
      <c r="R22" s="115" t="b">
        <f>F22='[2]Quadro Geral'!G24</f>
        <v>0</v>
      </c>
      <c r="S22" s="115" t="b">
        <f>G22='[2]Quadro Geral'!H24</f>
        <v>1</v>
      </c>
      <c r="T22" s="115" t="b">
        <f>H22='[2]Quadro Geral'!$L$24</f>
        <v>1</v>
      </c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</row>
    <row r="23" spans="1:31" s="116" customFormat="1" ht="47.25" x14ac:dyDescent="0.25">
      <c r="A23" s="7" t="s">
        <v>446</v>
      </c>
      <c r="B23" s="251" t="s">
        <v>275</v>
      </c>
      <c r="C23" s="7" t="s">
        <v>467</v>
      </c>
      <c r="D23" s="7" t="s">
        <v>496</v>
      </c>
      <c r="E23" s="7" t="s">
        <v>27</v>
      </c>
      <c r="F23" s="7" t="s">
        <v>103</v>
      </c>
      <c r="G23" s="7" t="s">
        <v>526</v>
      </c>
      <c r="H23" s="147">
        <v>63933.476996403595</v>
      </c>
      <c r="I23" s="147">
        <v>101574.18</v>
      </c>
      <c r="J23" s="147">
        <f>'Anexo 3. Elemento de Despesas'!P22</f>
        <v>0</v>
      </c>
      <c r="K23" s="148">
        <f t="shared" si="0"/>
        <v>37640.703003596398</v>
      </c>
      <c r="L23" s="150">
        <f t="shared" si="1"/>
        <v>0.58874794195400593</v>
      </c>
      <c r="M23" s="115" t="b">
        <f>A23='[2]Quadro Geral'!A25</f>
        <v>1</v>
      </c>
      <c r="N23" s="115" t="b">
        <f>B23='[2]Quadro Geral'!B25</f>
        <v>1</v>
      </c>
      <c r="O23" s="115" t="b">
        <f>C23='[2]Quadro Geral'!D25</f>
        <v>1</v>
      </c>
      <c r="P23" s="115" t="b">
        <f>D23='[2]Quadro Geral'!E25</f>
        <v>1</v>
      </c>
      <c r="Q23" s="115" t="b">
        <f>E23='[2]Quadro Geral'!F25</f>
        <v>1</v>
      </c>
      <c r="R23" s="115" t="b">
        <f>F23='[2]Quadro Geral'!G25</f>
        <v>0</v>
      </c>
      <c r="S23" s="115" t="b">
        <f>G23='[2]Quadro Geral'!H25</f>
        <v>1</v>
      </c>
      <c r="T23" s="115" t="b">
        <f>H23='[2]Quadro Geral'!$L$25</f>
        <v>1</v>
      </c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</row>
    <row r="24" spans="1:31" s="116" customFormat="1" ht="63" x14ac:dyDescent="0.25">
      <c r="A24" s="7" t="s">
        <v>447</v>
      </c>
      <c r="B24" s="251" t="s">
        <v>275</v>
      </c>
      <c r="C24" s="7" t="s">
        <v>468</v>
      </c>
      <c r="D24" s="7" t="s">
        <v>497</v>
      </c>
      <c r="E24" s="7" t="s">
        <v>24</v>
      </c>
      <c r="F24" s="7" t="s">
        <v>97</v>
      </c>
      <c r="G24" s="7" t="s">
        <v>527</v>
      </c>
      <c r="H24" s="147">
        <v>434028.18</v>
      </c>
      <c r="I24" s="147">
        <v>517675.4</v>
      </c>
      <c r="J24" s="147">
        <f>'Anexo 3. Elemento de Despesas'!P23</f>
        <v>0</v>
      </c>
      <c r="K24" s="148">
        <f t="shared" si="0"/>
        <v>83647.22000000003</v>
      </c>
      <c r="L24" s="150">
        <f t="shared" si="1"/>
        <v>0.19272301627972643</v>
      </c>
      <c r="M24" s="115" t="b">
        <f>A24='[2]Quadro Geral'!A26</f>
        <v>1</v>
      </c>
      <c r="N24" s="115" t="b">
        <f>B24='[2]Quadro Geral'!B26</f>
        <v>1</v>
      </c>
      <c r="O24" s="115" t="b">
        <f>C24='[2]Quadro Geral'!D26</f>
        <v>1</v>
      </c>
      <c r="P24" s="115" t="b">
        <f>D24='[2]Quadro Geral'!E26</f>
        <v>1</v>
      </c>
      <c r="Q24" s="115" t="b">
        <f>E24='[2]Quadro Geral'!F26</f>
        <v>1</v>
      </c>
      <c r="R24" s="115" t="b">
        <f>F24='[2]Quadro Geral'!G26</f>
        <v>0</v>
      </c>
      <c r="S24" s="115" t="b">
        <f>G24='[2]Quadro Geral'!H26</f>
        <v>1</v>
      </c>
      <c r="T24" s="115" t="b">
        <f>H24='[2]Quadro Geral'!$L$26</f>
        <v>1</v>
      </c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</row>
    <row r="25" spans="1:31" s="116" customFormat="1" ht="47.25" x14ac:dyDescent="0.25">
      <c r="A25" s="7" t="s">
        <v>434</v>
      </c>
      <c r="B25" s="251" t="s">
        <v>275</v>
      </c>
      <c r="C25" s="7" t="s">
        <v>469</v>
      </c>
      <c r="D25" s="7" t="s">
        <v>498</v>
      </c>
      <c r="E25" s="7" t="s">
        <v>29</v>
      </c>
      <c r="F25" s="7" t="s">
        <v>101</v>
      </c>
      <c r="G25" s="7" t="s">
        <v>528</v>
      </c>
      <c r="H25" s="147">
        <v>80000</v>
      </c>
      <c r="I25" s="147">
        <v>60000</v>
      </c>
      <c r="J25" s="147">
        <f>'Anexo 3. Elemento de Despesas'!P24</f>
        <v>0</v>
      </c>
      <c r="K25" s="148">
        <f t="shared" si="0"/>
        <v>-20000</v>
      </c>
      <c r="L25" s="150">
        <f t="shared" si="1"/>
        <v>-0.25</v>
      </c>
      <c r="M25" s="115" t="b">
        <f>A25='[2]Quadro Geral'!A27</f>
        <v>1</v>
      </c>
      <c r="N25" s="115" t="b">
        <f>B25='[2]Quadro Geral'!B27</f>
        <v>1</v>
      </c>
      <c r="O25" s="115" t="b">
        <f>C25='[2]Quadro Geral'!D27</f>
        <v>1</v>
      </c>
      <c r="P25" s="115" t="b">
        <f>D25='[2]Quadro Geral'!E27</f>
        <v>1</v>
      </c>
      <c r="Q25" s="115" t="b">
        <f>E25='[2]Quadro Geral'!F27</f>
        <v>1</v>
      </c>
      <c r="R25" s="115" t="b">
        <f>F25='[2]Quadro Geral'!G27</f>
        <v>0</v>
      </c>
      <c r="S25" s="115" t="b">
        <f>G25='[2]Quadro Geral'!H27</f>
        <v>1</v>
      </c>
      <c r="T25" s="115" t="b">
        <f>H25='[2]Quadro Geral'!$L$27</f>
        <v>1</v>
      </c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pans="1:31" s="116" customFormat="1" ht="63" x14ac:dyDescent="0.25">
      <c r="A26" s="7" t="s">
        <v>445</v>
      </c>
      <c r="B26" s="251" t="s">
        <v>274</v>
      </c>
      <c r="C26" s="7" t="s">
        <v>470</v>
      </c>
      <c r="D26" s="7" t="s">
        <v>499</v>
      </c>
      <c r="E26" s="7" t="s">
        <v>26</v>
      </c>
      <c r="F26" s="7" t="s">
        <v>95</v>
      </c>
      <c r="G26" s="7" t="s">
        <v>529</v>
      </c>
      <c r="H26" s="147">
        <v>268400</v>
      </c>
      <c r="I26" s="147">
        <v>270000</v>
      </c>
      <c r="J26" s="147">
        <f>'Anexo 3. Elemento de Despesas'!P25</f>
        <v>0</v>
      </c>
      <c r="K26" s="148">
        <f t="shared" si="0"/>
        <v>1600</v>
      </c>
      <c r="L26" s="150">
        <f t="shared" si="1"/>
        <v>5.9612518628912071E-3</v>
      </c>
      <c r="M26" s="115" t="b">
        <f>A26='[2]Quadro Geral'!A28</f>
        <v>1</v>
      </c>
      <c r="N26" s="115" t="b">
        <f>B26='[2]Quadro Geral'!B28</f>
        <v>1</v>
      </c>
      <c r="O26" s="115" t="b">
        <f>C26='[2]Quadro Geral'!D28</f>
        <v>1</v>
      </c>
      <c r="P26" s="115" t="b">
        <f>D26='[2]Quadro Geral'!E28</f>
        <v>1</v>
      </c>
      <c r="Q26" s="115" t="b">
        <f>E26='[2]Quadro Geral'!F28</f>
        <v>1</v>
      </c>
      <c r="R26" s="115" t="b">
        <f>F26='[2]Quadro Geral'!G28</f>
        <v>0</v>
      </c>
      <c r="S26" s="115" t="b">
        <f>G26='[2]Quadro Geral'!H28</f>
        <v>1</v>
      </c>
      <c r="T26" s="115" t="b">
        <f>H26='[2]Quadro Geral'!$L$28</f>
        <v>1</v>
      </c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</row>
    <row r="27" spans="1:31" s="116" customFormat="1" ht="47.25" x14ac:dyDescent="0.25">
      <c r="A27" s="7" t="s">
        <v>448</v>
      </c>
      <c r="B27" s="251" t="s">
        <v>275</v>
      </c>
      <c r="C27" s="7" t="s">
        <v>471</v>
      </c>
      <c r="D27" s="7" t="s">
        <v>500</v>
      </c>
      <c r="E27" s="7" t="s">
        <v>109</v>
      </c>
      <c r="F27" s="7" t="s">
        <v>97</v>
      </c>
      <c r="G27" s="7" t="s">
        <v>530</v>
      </c>
      <c r="H27" s="147">
        <v>362422.83</v>
      </c>
      <c r="I27" s="147">
        <v>116000</v>
      </c>
      <c r="J27" s="147">
        <f>'Anexo 3. Elemento de Despesas'!P26</f>
        <v>0</v>
      </c>
      <c r="K27" s="148">
        <f t="shared" si="0"/>
        <v>-246422.83000000002</v>
      </c>
      <c r="L27" s="150">
        <f t="shared" si="1"/>
        <v>-0.67993186301205144</v>
      </c>
      <c r="M27" s="115" t="b">
        <f>A27='[2]Quadro Geral'!A29</f>
        <v>1</v>
      </c>
      <c r="N27" s="115" t="b">
        <f>B27='[2]Quadro Geral'!B29</f>
        <v>1</v>
      </c>
      <c r="O27" s="115" t="b">
        <f>C27='[2]Quadro Geral'!D29</f>
        <v>1</v>
      </c>
      <c r="P27" s="115" t="b">
        <f>D27='[2]Quadro Geral'!E29</f>
        <v>1</v>
      </c>
      <c r="Q27" s="115" t="b">
        <f>E27='[2]Quadro Geral'!F29</f>
        <v>1</v>
      </c>
      <c r="R27" s="115" t="b">
        <f>F27='[2]Quadro Geral'!G29</f>
        <v>0</v>
      </c>
      <c r="S27" s="115" t="b">
        <f>G27='[2]Quadro Geral'!H29</f>
        <v>1</v>
      </c>
      <c r="T27" s="115" t="b">
        <f>H27='[2]Quadro Geral'!$L$29</f>
        <v>1</v>
      </c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16" customFormat="1" ht="63" x14ac:dyDescent="0.25">
      <c r="A28" s="7" t="s">
        <v>445</v>
      </c>
      <c r="B28" s="251" t="s">
        <v>274</v>
      </c>
      <c r="C28" s="7" t="s">
        <v>472</v>
      </c>
      <c r="D28" s="7" t="s">
        <v>501</v>
      </c>
      <c r="E28" s="7" t="s">
        <v>31</v>
      </c>
      <c r="F28" s="7" t="s">
        <v>103</v>
      </c>
      <c r="G28" s="7" t="s">
        <v>531</v>
      </c>
      <c r="H28" s="147">
        <v>800000</v>
      </c>
      <c r="I28" s="147">
        <v>800000</v>
      </c>
      <c r="J28" s="147">
        <f>'Anexo 3. Elemento de Despesas'!P27</f>
        <v>800000</v>
      </c>
      <c r="K28" s="148">
        <f t="shared" si="0"/>
        <v>0</v>
      </c>
      <c r="L28" s="150">
        <f t="shared" si="1"/>
        <v>0</v>
      </c>
      <c r="M28" s="115" t="b">
        <f>A28='[2]Quadro Geral'!A30</f>
        <v>1</v>
      </c>
      <c r="N28" s="115" t="b">
        <f>B28='[2]Quadro Geral'!B30</f>
        <v>1</v>
      </c>
      <c r="O28" s="115" t="b">
        <f>C28='[2]Quadro Geral'!D30</f>
        <v>1</v>
      </c>
      <c r="P28" s="115" t="b">
        <f>D28='[2]Quadro Geral'!E30</f>
        <v>1</v>
      </c>
      <c r="Q28" s="115" t="b">
        <f>E28='[2]Quadro Geral'!F30</f>
        <v>1</v>
      </c>
      <c r="R28" s="115" t="b">
        <f>F28='[2]Quadro Geral'!G30</f>
        <v>0</v>
      </c>
      <c r="S28" s="115" t="b">
        <f>G28='[2]Quadro Geral'!H30</f>
        <v>1</v>
      </c>
      <c r="T28" s="115" t="b">
        <f>H28='[2]Quadro Geral'!$L$30</f>
        <v>1</v>
      </c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</row>
    <row r="29" spans="1:31" s="116" customFormat="1" ht="63" x14ac:dyDescent="0.25">
      <c r="A29" s="7" t="s">
        <v>445</v>
      </c>
      <c r="B29" s="251" t="s">
        <v>274</v>
      </c>
      <c r="C29" s="7" t="s">
        <v>473</v>
      </c>
      <c r="D29" s="7" t="s">
        <v>502</v>
      </c>
      <c r="E29" s="7" t="s">
        <v>31</v>
      </c>
      <c r="F29" s="7" t="s">
        <v>103</v>
      </c>
      <c r="G29" s="7" t="s">
        <v>532</v>
      </c>
      <c r="H29" s="147">
        <v>640000</v>
      </c>
      <c r="I29" s="147">
        <v>640000</v>
      </c>
      <c r="J29" s="147">
        <f>'Anexo 3. Elemento de Despesas'!P28</f>
        <v>640000</v>
      </c>
      <c r="K29" s="148">
        <f t="shared" si="0"/>
        <v>0</v>
      </c>
      <c r="L29" s="150">
        <f t="shared" si="1"/>
        <v>0</v>
      </c>
      <c r="M29" s="115" t="b">
        <f>A29='[2]Quadro Geral'!A31</f>
        <v>1</v>
      </c>
      <c r="N29" s="115" t="b">
        <f>B29='[2]Quadro Geral'!B31</f>
        <v>1</v>
      </c>
      <c r="O29" s="115" t="b">
        <f>C29='[2]Quadro Geral'!D31</f>
        <v>1</v>
      </c>
      <c r="P29" s="115" t="b">
        <f>D29='[2]Quadro Geral'!E31</f>
        <v>1</v>
      </c>
      <c r="Q29" s="115" t="b">
        <f>E29='[2]Quadro Geral'!F31</f>
        <v>1</v>
      </c>
      <c r="R29" s="115" t="b">
        <f>F29='[2]Quadro Geral'!G31</f>
        <v>0</v>
      </c>
      <c r="S29" s="115" t="b">
        <f>G29='[2]Quadro Geral'!H31</f>
        <v>1</v>
      </c>
      <c r="T29" s="115" t="b">
        <f>H29='[2]Quadro Geral'!L31</f>
        <v>1</v>
      </c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116" customFormat="1" ht="47.25" x14ac:dyDescent="0.25">
      <c r="A30" s="7" t="s">
        <v>437</v>
      </c>
      <c r="B30" s="251" t="s">
        <v>275</v>
      </c>
      <c r="C30" s="7" t="s">
        <v>474</v>
      </c>
      <c r="D30" s="7" t="s">
        <v>503</v>
      </c>
      <c r="E30" s="7" t="s">
        <v>19</v>
      </c>
      <c r="F30" s="7" t="s">
        <v>103</v>
      </c>
      <c r="G30" s="7" t="s">
        <v>533</v>
      </c>
      <c r="H30" s="147">
        <v>334853.81</v>
      </c>
      <c r="I30" s="147">
        <v>433447.85</v>
      </c>
      <c r="J30" s="147">
        <f>'Anexo 3. Elemento de Despesas'!P29</f>
        <v>0</v>
      </c>
      <c r="K30" s="148">
        <f t="shared" si="0"/>
        <v>98594.039999999979</v>
      </c>
      <c r="L30" s="150">
        <f t="shared" si="1"/>
        <v>0.29443905685289939</v>
      </c>
      <c r="M30" s="115" t="b">
        <f>A30='[2]Quadro Geral'!A32</f>
        <v>1</v>
      </c>
      <c r="N30" s="115" t="b">
        <f>B30='[2]Quadro Geral'!B32</f>
        <v>1</v>
      </c>
      <c r="O30" s="115" t="b">
        <f>C30='[2]Quadro Geral'!D32</f>
        <v>1</v>
      </c>
      <c r="P30" s="115" t="b">
        <f>D30='[2]Quadro Geral'!E32</f>
        <v>1</v>
      </c>
      <c r="Q30" s="115" t="b">
        <f>E30='[2]Quadro Geral'!F32</f>
        <v>1</v>
      </c>
      <c r="R30" s="115" t="b">
        <f>F30='[2]Quadro Geral'!G32</f>
        <v>0</v>
      </c>
      <c r="S30" s="115" t="b">
        <f>G30='[2]Quadro Geral'!H32</f>
        <v>1</v>
      </c>
      <c r="T30" s="115" t="b">
        <f>H30='[2]Quadro Geral'!L32</f>
        <v>1</v>
      </c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31" s="116" customFormat="1" ht="47.25" x14ac:dyDescent="0.25">
      <c r="A31" s="7" t="s">
        <v>437</v>
      </c>
      <c r="B31" s="251" t="s">
        <v>275</v>
      </c>
      <c r="C31" s="7" t="s">
        <v>475</v>
      </c>
      <c r="D31" s="7" t="s">
        <v>504</v>
      </c>
      <c r="E31" s="7" t="s">
        <v>109</v>
      </c>
      <c r="F31" s="7" t="s">
        <v>103</v>
      </c>
      <c r="G31" s="7" t="s">
        <v>534</v>
      </c>
      <c r="H31" s="147">
        <v>48792.739578978741</v>
      </c>
      <c r="I31" s="147">
        <v>56512.35</v>
      </c>
      <c r="J31" s="147">
        <f>'Anexo 3. Elemento de Despesas'!P30</f>
        <v>0</v>
      </c>
      <c r="K31" s="148">
        <f t="shared" si="0"/>
        <v>7719.6104210212579</v>
      </c>
      <c r="L31" s="150">
        <f t="shared" si="1"/>
        <v>0.15821227681888719</v>
      </c>
      <c r="M31" s="115" t="b">
        <f>A31='[2]Quadro Geral'!A33</f>
        <v>1</v>
      </c>
      <c r="N31" s="115" t="b">
        <f>B31='[2]Quadro Geral'!B33</f>
        <v>1</v>
      </c>
      <c r="O31" s="115" t="b">
        <f>C31='[2]Quadro Geral'!D33</f>
        <v>1</v>
      </c>
      <c r="P31" s="115" t="b">
        <f>D31='[2]Quadro Geral'!E33</f>
        <v>1</v>
      </c>
      <c r="Q31" s="115" t="b">
        <f>E31='[2]Quadro Geral'!F33</f>
        <v>1</v>
      </c>
      <c r="R31" s="115" t="b">
        <f>F31='[2]Quadro Geral'!G33</f>
        <v>0</v>
      </c>
      <c r="S31" s="115" t="b">
        <f>G31='[2]Quadro Geral'!H33</f>
        <v>1</v>
      </c>
      <c r="T31" s="115" t="b">
        <f>H31='[2]Quadro Geral'!L33</f>
        <v>1</v>
      </c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</row>
    <row r="32" spans="1:31" s="116" customFormat="1" ht="47.25" x14ac:dyDescent="0.25">
      <c r="A32" s="7" t="s">
        <v>449</v>
      </c>
      <c r="B32" s="251" t="s">
        <v>275</v>
      </c>
      <c r="C32" s="7" t="s">
        <v>476</v>
      </c>
      <c r="D32" s="7" t="s">
        <v>505</v>
      </c>
      <c r="E32" s="7" t="s">
        <v>19</v>
      </c>
      <c r="F32" s="7" t="s">
        <v>95</v>
      </c>
      <c r="G32" s="7" t="s">
        <v>535</v>
      </c>
      <c r="H32" s="147">
        <v>365783.14</v>
      </c>
      <c r="I32" s="147">
        <v>443914</v>
      </c>
      <c r="J32" s="147">
        <f>'Anexo 3. Elemento de Despesas'!P31</f>
        <v>0</v>
      </c>
      <c r="K32" s="148">
        <f t="shared" si="0"/>
        <v>78130.859999999986</v>
      </c>
      <c r="L32" s="150">
        <f t="shared" si="1"/>
        <v>0.21359885532176245</v>
      </c>
      <c r="M32" s="115" t="b">
        <f>A32='[2]Quadro Geral'!A34</f>
        <v>1</v>
      </c>
      <c r="N32" s="115" t="b">
        <f>B32='[2]Quadro Geral'!B34</f>
        <v>1</v>
      </c>
      <c r="O32" s="115" t="b">
        <f>C32='[2]Quadro Geral'!D34</f>
        <v>1</v>
      </c>
      <c r="P32" s="115" t="b">
        <f>D32='[2]Quadro Geral'!E34</f>
        <v>1</v>
      </c>
      <c r="Q32" s="115" t="b">
        <f>E32='[2]Quadro Geral'!F34</f>
        <v>1</v>
      </c>
      <c r="R32" s="115" t="b">
        <f>F32='[2]Quadro Geral'!G34</f>
        <v>0</v>
      </c>
      <c r="S32" s="115" t="b">
        <f>G32='[2]Quadro Geral'!H34</f>
        <v>1</v>
      </c>
      <c r="T32" s="115" t="b">
        <f>H32='[2]Quadro Geral'!L34</f>
        <v>1</v>
      </c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</row>
    <row r="33" spans="1:31" s="116" customFormat="1" ht="31.5" x14ac:dyDescent="0.25">
      <c r="A33" s="7" t="s">
        <v>445</v>
      </c>
      <c r="B33" s="251" t="s">
        <v>275</v>
      </c>
      <c r="C33" s="7" t="s">
        <v>477</v>
      </c>
      <c r="D33" s="7" t="s">
        <v>506</v>
      </c>
      <c r="E33" s="7" t="s">
        <v>27</v>
      </c>
      <c r="F33" s="7" t="s">
        <v>103</v>
      </c>
      <c r="G33" s="7" t="s">
        <v>536</v>
      </c>
      <c r="H33" s="147">
        <v>41000</v>
      </c>
      <c r="I33" s="147">
        <v>41000</v>
      </c>
      <c r="J33" s="147">
        <f>'Anexo 3. Elemento de Despesas'!P32</f>
        <v>0</v>
      </c>
      <c r="K33" s="148">
        <f t="shared" si="0"/>
        <v>0</v>
      </c>
      <c r="L33" s="150">
        <f t="shared" si="1"/>
        <v>0</v>
      </c>
      <c r="M33" s="115" t="b">
        <f>A33='[2]Quadro Geral'!A35</f>
        <v>1</v>
      </c>
      <c r="N33" s="115" t="b">
        <f>B33='[2]Quadro Geral'!B35</f>
        <v>1</v>
      </c>
      <c r="O33" s="115" t="b">
        <f>C33='[2]Quadro Geral'!D35</f>
        <v>1</v>
      </c>
      <c r="P33" s="115" t="b">
        <f>D33='[2]Quadro Geral'!E35</f>
        <v>1</v>
      </c>
      <c r="Q33" s="115" t="b">
        <f>E33='[2]Quadro Geral'!F35</f>
        <v>1</v>
      </c>
      <c r="R33" s="115" t="b">
        <f>F33='[2]Quadro Geral'!G35</f>
        <v>0</v>
      </c>
      <c r="S33" s="115" t="b">
        <f>G33='[2]Quadro Geral'!H35</f>
        <v>1</v>
      </c>
      <c r="T33" s="115" t="b">
        <f>H33='[2]Quadro Geral'!L35</f>
        <v>1</v>
      </c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</row>
    <row r="34" spans="1:31" s="116" customFormat="1" ht="63" x14ac:dyDescent="0.25">
      <c r="A34" s="7" t="s">
        <v>433</v>
      </c>
      <c r="B34" s="251" t="s">
        <v>274</v>
      </c>
      <c r="C34" s="7" t="s">
        <v>478</v>
      </c>
      <c r="D34" s="7" t="s">
        <v>507</v>
      </c>
      <c r="E34" s="7" t="s">
        <v>31</v>
      </c>
      <c r="F34" s="7" t="s">
        <v>103</v>
      </c>
      <c r="G34" s="7" t="s">
        <v>531</v>
      </c>
      <c r="H34" s="147">
        <v>4000000</v>
      </c>
      <c r="I34" s="147">
        <v>4000000</v>
      </c>
      <c r="J34" s="147">
        <f>'Anexo 3. Elemento de Despesas'!P33</f>
        <v>4000000</v>
      </c>
      <c r="K34" s="148">
        <f t="shared" si="0"/>
        <v>0</v>
      </c>
      <c r="L34" s="150">
        <f t="shared" si="1"/>
        <v>0</v>
      </c>
      <c r="M34" s="115" t="b">
        <f>A34='[2]Quadro Geral'!A36</f>
        <v>1</v>
      </c>
      <c r="N34" s="115" t="b">
        <f>B34='[2]Quadro Geral'!B36</f>
        <v>1</v>
      </c>
      <c r="O34" s="115" t="b">
        <f>C34='[2]Quadro Geral'!D36</f>
        <v>1</v>
      </c>
      <c r="P34" s="115" t="b">
        <f>D34='[2]Quadro Geral'!E36</f>
        <v>1</v>
      </c>
      <c r="Q34" s="115" t="b">
        <f>E34='[2]Quadro Geral'!F36</f>
        <v>1</v>
      </c>
      <c r="R34" s="115" t="b">
        <f>F34='[2]Quadro Geral'!G36</f>
        <v>0</v>
      </c>
      <c r="S34" s="115" t="b">
        <f>G34='[2]Quadro Geral'!H36</f>
        <v>1</v>
      </c>
      <c r="T34" s="115" t="b">
        <f>H34='[2]Quadro Geral'!L36</f>
        <v>1</v>
      </c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</row>
    <row r="35" spans="1:31" s="116" customFormat="1" ht="31.5" x14ac:dyDescent="0.25">
      <c r="A35" s="7" t="s">
        <v>445</v>
      </c>
      <c r="B35" s="251" t="s">
        <v>274</v>
      </c>
      <c r="C35" s="7" t="s">
        <v>479</v>
      </c>
      <c r="D35" s="7" t="s">
        <v>508</v>
      </c>
      <c r="E35" s="7" t="s">
        <v>28</v>
      </c>
      <c r="F35" s="7" t="s">
        <v>103</v>
      </c>
      <c r="G35" s="7" t="s">
        <v>537</v>
      </c>
      <c r="H35" s="147">
        <v>5000</v>
      </c>
      <c r="I35" s="147">
        <v>0</v>
      </c>
      <c r="J35" s="147">
        <f>'Anexo 3. Elemento de Despesas'!P34</f>
        <v>0</v>
      </c>
      <c r="K35" s="148">
        <f t="shared" si="0"/>
        <v>-5000</v>
      </c>
      <c r="L35" s="150">
        <f t="shared" si="1"/>
        <v>-1</v>
      </c>
      <c r="M35" s="115" t="b">
        <f>A35='[2]Quadro Geral'!A37</f>
        <v>1</v>
      </c>
      <c r="N35" s="115" t="b">
        <f>B35='[2]Quadro Geral'!B37</f>
        <v>1</v>
      </c>
      <c r="O35" s="115" t="b">
        <f>C35='[2]Quadro Geral'!D37</f>
        <v>1</v>
      </c>
      <c r="P35" s="115" t="b">
        <f>D35='[2]Quadro Geral'!E37</f>
        <v>1</v>
      </c>
      <c r="Q35" s="115" t="b">
        <f>E35='[2]Quadro Geral'!F37</f>
        <v>1</v>
      </c>
      <c r="R35" s="115" t="b">
        <f>F35='[2]Quadro Geral'!G37</f>
        <v>0</v>
      </c>
      <c r="S35" s="115" t="b">
        <f>G35='[2]Quadro Geral'!H37</f>
        <v>1</v>
      </c>
      <c r="T35" s="115" t="b">
        <f>H35='[2]Quadro Geral'!L37</f>
        <v>1</v>
      </c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</row>
    <row r="36" spans="1:31" s="116" customFormat="1" ht="47.25" x14ac:dyDescent="0.25">
      <c r="A36" s="7" t="s">
        <v>450</v>
      </c>
      <c r="B36" s="251" t="s">
        <v>275</v>
      </c>
      <c r="C36" s="7" t="s">
        <v>480</v>
      </c>
      <c r="D36" s="7" t="s">
        <v>509</v>
      </c>
      <c r="E36" s="7" t="s">
        <v>28</v>
      </c>
      <c r="F36" s="7" t="s">
        <v>104</v>
      </c>
      <c r="G36" s="7" t="s">
        <v>538</v>
      </c>
      <c r="H36" s="147">
        <v>373243.66000000003</v>
      </c>
      <c r="I36" s="147">
        <v>919063.39</v>
      </c>
      <c r="J36" s="147">
        <f>'Anexo 3. Elemento de Despesas'!P35</f>
        <v>0</v>
      </c>
      <c r="K36" s="148">
        <f t="shared" si="0"/>
        <v>545819.73</v>
      </c>
      <c r="L36" s="150">
        <f t="shared" si="1"/>
        <v>1.4623683895930073</v>
      </c>
      <c r="M36" s="115" t="b">
        <f>A36='[2]Quadro Geral'!A38</f>
        <v>1</v>
      </c>
      <c r="N36" s="115" t="b">
        <f>B36='[2]Quadro Geral'!B38</f>
        <v>1</v>
      </c>
      <c r="O36" s="115" t="b">
        <f>C36='[2]Quadro Geral'!D38</f>
        <v>1</v>
      </c>
      <c r="P36" s="115" t="b">
        <f>D36='[2]Quadro Geral'!E38</f>
        <v>1</v>
      </c>
      <c r="Q36" s="115" t="b">
        <f>E36='[2]Quadro Geral'!F38</f>
        <v>1</v>
      </c>
      <c r="R36" s="115" t="b">
        <f>F36='[2]Quadro Geral'!G38</f>
        <v>0</v>
      </c>
      <c r="S36" s="115" t="b">
        <f>G36='[2]Quadro Geral'!H38</f>
        <v>1</v>
      </c>
      <c r="T36" s="115" t="b">
        <f>H36='[2]Quadro Geral'!L38</f>
        <v>1</v>
      </c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</row>
    <row r="37" spans="1:31" s="116" customFormat="1" ht="173.25" x14ac:dyDescent="0.25">
      <c r="A37" s="7" t="s">
        <v>451</v>
      </c>
      <c r="B37" s="251" t="s">
        <v>274</v>
      </c>
      <c r="C37" s="429" t="s">
        <v>551</v>
      </c>
      <c r="D37" s="7" t="s">
        <v>510</v>
      </c>
      <c r="E37" s="7" t="s">
        <v>109</v>
      </c>
      <c r="F37" s="7" t="s">
        <v>98</v>
      </c>
      <c r="G37" s="7" t="s">
        <v>539</v>
      </c>
      <c r="H37" s="147">
        <v>50000</v>
      </c>
      <c r="I37" s="147">
        <v>30000</v>
      </c>
      <c r="J37" s="147">
        <f>'Anexo 3. Elemento de Despesas'!P36</f>
        <v>0</v>
      </c>
      <c r="K37" s="148">
        <f t="shared" si="0"/>
        <v>-20000</v>
      </c>
      <c r="L37" s="150">
        <f t="shared" si="1"/>
        <v>-0.4</v>
      </c>
      <c r="M37" s="115" t="b">
        <f>A37='[2]Quadro Geral'!A40</f>
        <v>1</v>
      </c>
      <c r="N37" s="115" t="b">
        <f>B37='[2]Quadro Geral'!B40</f>
        <v>1</v>
      </c>
      <c r="O37" s="115" t="str">
        <f>'[2]Quadro Geral'!D40</f>
        <v>Projeto Intercomissões</v>
      </c>
      <c r="P37" s="115" t="b">
        <f>D37='[2]Quadro Geral'!E40</f>
        <v>1</v>
      </c>
      <c r="Q37" s="115" t="b">
        <f>E37='[2]Quadro Geral'!F40</f>
        <v>1</v>
      </c>
      <c r="R37" s="115" t="b">
        <f>F37='[2]Quadro Geral'!G40</f>
        <v>0</v>
      </c>
      <c r="S37" s="115" t="b">
        <f>G37='[2]Quadro Geral'!H40</f>
        <v>1</v>
      </c>
      <c r="T37" s="115" t="b">
        <f>H37='[2]Quadro Geral'!$L$40</f>
        <v>1</v>
      </c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</row>
    <row r="38" spans="1:31" s="116" customFormat="1" ht="31.5" x14ac:dyDescent="0.25">
      <c r="A38" s="250" t="s">
        <v>433</v>
      </c>
      <c r="B38" s="9" t="s">
        <v>274</v>
      </c>
      <c r="C38" s="7" t="s">
        <v>540</v>
      </c>
      <c r="D38" s="7" t="s">
        <v>508</v>
      </c>
      <c r="E38" s="7" t="s">
        <v>28</v>
      </c>
      <c r="F38" s="7" t="s">
        <v>97</v>
      </c>
      <c r="G38" s="7" t="s">
        <v>541</v>
      </c>
      <c r="H38" s="147">
        <v>15000</v>
      </c>
      <c r="I38" s="147">
        <v>0</v>
      </c>
      <c r="J38" s="147">
        <f>'Anexo 3. Elemento de Despesas'!P37</f>
        <v>0</v>
      </c>
      <c r="K38" s="148">
        <f t="shared" si="0"/>
        <v>-15000</v>
      </c>
      <c r="L38" s="150">
        <f t="shared" si="1"/>
        <v>-1</v>
      </c>
      <c r="M38" s="115" t="b">
        <f>A38='[2]Quadro Geral'!A42</f>
        <v>1</v>
      </c>
      <c r="N38" s="115" t="b">
        <f>B38='[2]Quadro Geral'!B42</f>
        <v>1</v>
      </c>
      <c r="O38" s="115" t="b">
        <f>C38='[2]Quadro Geral'!D42</f>
        <v>1</v>
      </c>
      <c r="P38" s="115" t="b">
        <f>D38='[2]Quadro Geral'!E42</f>
        <v>1</v>
      </c>
      <c r="Q38" s="115" t="b">
        <f>E38='[2]Quadro Geral'!F42</f>
        <v>1</v>
      </c>
      <c r="R38" s="115" t="b">
        <f>F38='[2]Quadro Geral'!G42</f>
        <v>0</v>
      </c>
      <c r="S38" s="115" t="b">
        <f>G38='[2]Quadro Geral'!H42</f>
        <v>1</v>
      </c>
      <c r="T38" s="115" t="b">
        <f>H38='[2]Quadro Geral'!$L$42</f>
        <v>1</v>
      </c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</row>
    <row r="39" spans="1:31" s="116" customFormat="1" hidden="1" x14ac:dyDescent="0.25">
      <c r="A39" s="61"/>
      <c r="B39" s="9"/>
      <c r="C39" s="7"/>
      <c r="D39" s="7"/>
      <c r="E39" s="7"/>
      <c r="F39" s="7"/>
      <c r="G39" s="7"/>
      <c r="H39" s="147"/>
      <c r="I39" s="147"/>
      <c r="J39" s="147">
        <f>'Anexo 3. Elemento de Despesas'!P38</f>
        <v>0</v>
      </c>
      <c r="K39" s="148">
        <f t="shared" si="0"/>
        <v>0</v>
      </c>
      <c r="L39" s="150">
        <f t="shared" si="1"/>
        <v>0</v>
      </c>
      <c r="M39" s="115" t="b">
        <f>A39='[2]Quadro Geral'!A41</f>
        <v>0</v>
      </c>
      <c r="N39" s="115" t="b">
        <f>B39='[2]Quadro Geral'!B41</f>
        <v>0</v>
      </c>
      <c r="O39" s="115" t="b">
        <f>C39='[2]Quadro Geral'!D41</f>
        <v>0</v>
      </c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</row>
    <row r="40" spans="1:31" s="116" customFormat="1" x14ac:dyDescent="0.25">
      <c r="A40" s="348" t="s">
        <v>6</v>
      </c>
      <c r="B40" s="348"/>
      <c r="C40" s="348"/>
      <c r="D40" s="348"/>
      <c r="E40" s="348"/>
      <c r="F40" s="348"/>
      <c r="G40" s="348"/>
      <c r="H40" s="149">
        <f>SUM(H8:H39)</f>
        <v>11539238.236575384</v>
      </c>
      <c r="I40" s="149">
        <f>SUM(I8:I39)</f>
        <v>11717291.01</v>
      </c>
      <c r="J40" s="149">
        <f>SUM(J8:J39)</f>
        <v>5440000</v>
      </c>
      <c r="K40" s="149">
        <f>SUM(K8:K39)</f>
        <v>178052.77342461754</v>
      </c>
      <c r="L40" s="151">
        <f t="shared" ref="L40" si="2">IFERROR(K40/H40,)</f>
        <v>1.5430201697392121E-2</v>
      </c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</row>
    <row r="41" spans="1:31" s="116" customFormat="1" x14ac:dyDescent="0.25">
      <c r="A41" s="347" t="s">
        <v>430</v>
      </c>
      <c r="B41" s="347"/>
      <c r="C41" s="347"/>
      <c r="D41" s="347"/>
      <c r="E41" s="347"/>
      <c r="F41" s="347"/>
      <c r="G41" s="347"/>
      <c r="H41" s="145" t="b">
        <f>H40='Anexo 1. Fontes e Aplicações'!C34</f>
        <v>1</v>
      </c>
      <c r="I41" s="145" t="b">
        <f>I40='Anexo 1. Fontes e Aplicações'!D34</f>
        <v>1</v>
      </c>
      <c r="J41" s="145" t="b">
        <f>J40='Anexo 1. Fontes e Aplicações'!B51</f>
        <v>1</v>
      </c>
      <c r="K41" s="145"/>
      <c r="L41" s="154"/>
      <c r="M41" s="115" t="b">
        <f>H40='[3]Quadro Geral'!$L$43</f>
        <v>1</v>
      </c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</row>
    <row r="42" spans="1:31" s="116" customFormat="1" x14ac:dyDescent="0.25">
      <c r="A42" s="344" t="s">
        <v>216</v>
      </c>
      <c r="B42" s="344"/>
      <c r="C42" s="344"/>
      <c r="D42" s="344"/>
      <c r="E42" s="344"/>
      <c r="F42" s="344"/>
      <c r="G42" s="344"/>
      <c r="H42" s="344"/>
      <c r="I42" s="344"/>
      <c r="J42" s="345"/>
      <c r="K42" s="344"/>
      <c r="L42" s="344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</row>
    <row r="43" spans="1:31" s="116" customFormat="1" ht="120.75" customHeight="1" x14ac:dyDescent="0.25">
      <c r="A43" s="342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</row>
    <row r="44" spans="1:31" s="116" customFormat="1" hidden="1" x14ac:dyDescent="0.25">
      <c r="A44" s="341"/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</row>
    <row r="45" spans="1:31" x14ac:dyDescent="0.4"/>
    <row r="46" spans="1:31" x14ac:dyDescent="0.4"/>
    <row r="47" spans="1:31" x14ac:dyDescent="0.4"/>
    <row r="48" spans="1:31" x14ac:dyDescent="0.4"/>
    <row r="49" x14ac:dyDescent="0.4"/>
    <row r="50" x14ac:dyDescent="0.4"/>
    <row r="51" x14ac:dyDescent="0.4"/>
    <row r="52" x14ac:dyDescent="0.4"/>
    <row r="53" x14ac:dyDescent="0.4"/>
    <row r="54" x14ac:dyDescent="0.4"/>
    <row r="55" x14ac:dyDescent="0.4"/>
    <row r="56" x14ac:dyDescent="0.4"/>
    <row r="57" x14ac:dyDescent="0.4"/>
    <row r="58" x14ac:dyDescent="0.4"/>
    <row r="59" x14ac:dyDescent="0.4"/>
    <row r="60" x14ac:dyDescent="0.4"/>
    <row r="61" x14ac:dyDescent="0.4"/>
    <row r="62" x14ac:dyDescent="0.4"/>
    <row r="63" x14ac:dyDescent="0.4"/>
    <row r="64" x14ac:dyDescent="0.4"/>
    <row r="65" x14ac:dyDescent="0.4"/>
    <row r="66" x14ac:dyDescent="0.4"/>
    <row r="67" x14ac:dyDescent="0.4"/>
    <row r="68" x14ac:dyDescent="0.4"/>
    <row r="69" x14ac:dyDescent="0.4"/>
    <row r="70" x14ac:dyDescent="0.4"/>
    <row r="71" x14ac:dyDescent="0.4"/>
    <row r="72" x14ac:dyDescent="0.4"/>
    <row r="73" x14ac:dyDescent="0.4"/>
    <row r="74" x14ac:dyDescent="0.4"/>
    <row r="75" x14ac:dyDescent="0.4"/>
    <row r="76" x14ac:dyDescent="0.4"/>
    <row r="77" x14ac:dyDescent="0.4"/>
    <row r="78" x14ac:dyDescent="0.4"/>
    <row r="79" x14ac:dyDescent="0.4"/>
    <row r="80" x14ac:dyDescent="0.4"/>
    <row r="81" x14ac:dyDescent="0.4"/>
    <row r="82" x14ac:dyDescent="0.4"/>
    <row r="83" x14ac:dyDescent="0.4"/>
    <row r="84" x14ac:dyDescent="0.4"/>
    <row r="85" x14ac:dyDescent="0.4"/>
    <row r="86" x14ac:dyDescent="0.4"/>
  </sheetData>
  <sheetProtection formatCells="0" formatRows="0" insertRows="0" deleteRows="0"/>
  <mergeCells count="22">
    <mergeCell ref="A1:L1"/>
    <mergeCell ref="G6:G7"/>
    <mergeCell ref="A3:L3"/>
    <mergeCell ref="K6:L6"/>
    <mergeCell ref="A6:A7"/>
    <mergeCell ref="B6:B7"/>
    <mergeCell ref="C6:C7"/>
    <mergeCell ref="E6:E7"/>
    <mergeCell ref="D6:D7"/>
    <mergeCell ref="A2:L2"/>
    <mergeCell ref="A5:L5"/>
    <mergeCell ref="J6:J7"/>
    <mergeCell ref="Z3:AF7"/>
    <mergeCell ref="V3:Y7"/>
    <mergeCell ref="A44:L44"/>
    <mergeCell ref="A43:L43"/>
    <mergeCell ref="A42:L42"/>
    <mergeCell ref="H6:H7"/>
    <mergeCell ref="I6:I7"/>
    <mergeCell ref="F6:F7"/>
    <mergeCell ref="A41:G41"/>
    <mergeCell ref="A40:G40"/>
  </mergeCells>
  <phoneticPr fontId="18" type="noConversion"/>
  <conditionalFormatting sqref="H41:L41">
    <cfRule type="cellIs" dxfId="23" priority="4" operator="equal">
      <formula>TRUE</formula>
    </cfRule>
  </conditionalFormatting>
  <conditionalFormatting sqref="M8:T38">
    <cfRule type="containsText" dxfId="22" priority="1" operator="containsText" text="FALSO">
      <formula>NOT(ISERROR(SEARCH("FALSO",M8)))</formula>
    </cfRule>
    <cfRule type="containsText" dxfId="21" priority="2" operator="containsText" text="VERDADEIRO">
      <formula>NOT(ISERROR(SEARCH("VERDADEIRO",M8)))</formula>
    </cfRule>
  </conditionalFormatting>
  <pageMargins left="0.23622047244094491" right="0.23622047244094491" top="0.27" bottom="0.17" header="0.31496062992125984" footer="0.31496062992125984"/>
  <pageSetup paperSize="9" scale="4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'Validação de dados'!$E$1:$E$6</xm:f>
          </x14:formula1>
          <xm:sqref>B39</xm:sqref>
        </x14:dataValidation>
        <x14:dataValidation type="list" allowBlank="1" showInputMessage="1" showErrorMessage="1">
          <x14:formula1>
            <xm:f>'Validação de dados'!$D$18:$D$33</xm:f>
          </x14:formula1>
          <xm:sqref>E39</xm:sqref>
        </x14:dataValidation>
        <x14:dataValidation type="list" allowBlank="1" showInputMessage="1" showErrorMessage="1">
          <x14:formula1>
            <xm:f>'[4]Validação de dados'!#REF!</xm:f>
          </x14:formula1>
          <xm:sqref>E38 B38</xm:sqref>
        </x14:dataValidation>
        <x14:dataValidation type="list" allowBlank="1" showInputMessage="1" showErrorMessage="1">
          <x14:formula1>
            <xm:f>'Validação de dados'!$A$1:$A$17</xm:f>
          </x14:formula1>
          <xm:sqref>F8:F39</xm:sqref>
        </x14:dataValidation>
        <x14:dataValidation type="list" allowBlank="1" showInputMessage="1" showErrorMessage="1">
          <x14:formula1>
            <xm:f>'[5]Validação de dados'!#REF!</xm:f>
          </x14:formula1>
          <xm:sqref>B8:B37 E8:E37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>
    <tabColor rgb="FFFF6900"/>
    <pageSetUpPr fitToPage="1"/>
  </sheetPr>
  <dimension ref="A1:V58"/>
  <sheetViews>
    <sheetView showGridLines="0" topLeftCell="A31" zoomScale="90" zoomScaleNormal="90" zoomScaleSheetLayoutView="80" workbookViewId="0">
      <selection activeCell="A58" sqref="A58:G58"/>
    </sheetView>
  </sheetViews>
  <sheetFormatPr defaultColWidth="9.140625" defaultRowHeight="15.75" zeroHeight="1" x14ac:dyDescent="0.25"/>
  <cols>
    <col min="1" max="1" width="47" style="85" customWidth="1"/>
    <col min="2" max="6" width="21.42578125" style="85" customWidth="1"/>
    <col min="7" max="7" width="22.140625" style="85" customWidth="1"/>
    <col min="8" max="9" width="18.85546875" style="91" hidden="1" customWidth="1"/>
    <col min="10" max="10" width="18.85546875" style="93" hidden="1" customWidth="1"/>
    <col min="11" max="12" width="18.85546875" style="91" hidden="1" customWidth="1"/>
    <col min="13" max="13" width="0" style="91" hidden="1" customWidth="1"/>
    <col min="14" max="16384" width="9.140625" style="91"/>
  </cols>
  <sheetData>
    <row r="1" spans="1:22" ht="118.5" customHeight="1" x14ac:dyDescent="0.25">
      <c r="A1" s="355" t="s">
        <v>427</v>
      </c>
      <c r="B1" s="355"/>
      <c r="C1" s="355"/>
      <c r="D1" s="355"/>
      <c r="E1" s="355"/>
      <c r="F1" s="355"/>
      <c r="G1" s="356"/>
    </row>
    <row r="2" spans="1:22" x14ac:dyDescent="0.25">
      <c r="A2" s="358" t="str">
        <f>'Indicadores e Metas'!A2:F2</f>
        <v>CAU/UF:  CAU/BA</v>
      </c>
      <c r="B2" s="359"/>
      <c r="C2" s="359"/>
      <c r="D2" s="359"/>
      <c r="E2" s="359"/>
      <c r="F2" s="359"/>
      <c r="G2" s="360"/>
      <c r="O2" s="340" t="s">
        <v>550</v>
      </c>
      <c r="P2" s="340"/>
      <c r="Q2" s="340"/>
      <c r="R2" s="340"/>
      <c r="S2" s="351" t="s">
        <v>553</v>
      </c>
      <c r="T2" s="351"/>
      <c r="U2" s="351"/>
      <c r="V2" s="351"/>
    </row>
    <row r="3" spans="1:22" s="92" customFormat="1" x14ac:dyDescent="0.25">
      <c r="A3" s="358" t="s">
        <v>380</v>
      </c>
      <c r="B3" s="359"/>
      <c r="C3" s="359"/>
      <c r="D3" s="359"/>
      <c r="E3" s="359"/>
      <c r="F3" s="359"/>
      <c r="G3" s="360"/>
      <c r="J3" s="94"/>
      <c r="O3" s="340"/>
      <c r="P3" s="340"/>
      <c r="Q3" s="340"/>
      <c r="R3" s="340"/>
      <c r="S3" s="351"/>
      <c r="T3" s="351"/>
      <c r="U3" s="351"/>
      <c r="V3" s="351"/>
    </row>
    <row r="4" spans="1:22" s="92" customFormat="1" x14ac:dyDescent="0.25">
      <c r="A4" s="381"/>
      <c r="B4" s="381"/>
      <c r="C4" s="381"/>
      <c r="D4" s="381"/>
      <c r="E4" s="381"/>
      <c r="F4" s="88"/>
      <c r="G4" s="86"/>
      <c r="J4" s="94"/>
      <c r="O4" s="340"/>
      <c r="P4" s="340"/>
      <c r="Q4" s="340"/>
      <c r="R4" s="340"/>
      <c r="S4" s="351"/>
      <c r="T4" s="351"/>
      <c r="U4" s="351"/>
      <c r="V4" s="351"/>
    </row>
    <row r="5" spans="1:22" ht="23.25" customHeight="1" x14ac:dyDescent="0.25">
      <c r="A5" s="361" t="s">
        <v>7</v>
      </c>
      <c r="B5" s="362"/>
      <c r="C5" s="352" t="s">
        <v>385</v>
      </c>
      <c r="D5" s="352" t="s">
        <v>381</v>
      </c>
      <c r="E5" s="267" t="s">
        <v>378</v>
      </c>
      <c r="F5" s="267"/>
      <c r="G5" s="387" t="s">
        <v>402</v>
      </c>
      <c r="O5" s="340"/>
      <c r="P5" s="340"/>
      <c r="Q5" s="340"/>
      <c r="R5" s="340"/>
      <c r="S5" s="351"/>
      <c r="T5" s="351"/>
      <c r="U5" s="351"/>
      <c r="V5" s="351"/>
    </row>
    <row r="6" spans="1:22" ht="20.25" customHeight="1" x14ac:dyDescent="0.25">
      <c r="A6" s="363"/>
      <c r="B6" s="364"/>
      <c r="C6" s="354"/>
      <c r="D6" s="354"/>
      <c r="E6" s="352" t="s">
        <v>404</v>
      </c>
      <c r="F6" s="387" t="s">
        <v>403</v>
      </c>
      <c r="G6" s="388"/>
      <c r="O6" s="340"/>
      <c r="P6" s="340"/>
      <c r="Q6" s="340"/>
      <c r="R6" s="340"/>
      <c r="S6" s="351"/>
      <c r="T6" s="351"/>
      <c r="U6" s="351"/>
      <c r="V6" s="351"/>
    </row>
    <row r="7" spans="1:22" x14ac:dyDescent="0.25">
      <c r="A7" s="365" t="s">
        <v>366</v>
      </c>
      <c r="B7" s="366"/>
      <c r="C7" s="353"/>
      <c r="D7" s="353"/>
      <c r="E7" s="353"/>
      <c r="F7" s="389"/>
      <c r="G7" s="389"/>
      <c r="J7" s="93" t="b">
        <f>J9=D9</f>
        <v>1</v>
      </c>
    </row>
    <row r="8" spans="1:22" x14ac:dyDescent="0.25">
      <c r="A8" s="370" t="s">
        <v>8</v>
      </c>
      <c r="B8" s="370"/>
      <c r="C8" s="156">
        <f>C9+C19+C20+C21</f>
        <v>6099238.2365753837</v>
      </c>
      <c r="D8" s="156">
        <f t="shared" ref="D8" si="0">D9+D19+D20+D21</f>
        <v>6277291.0099999998</v>
      </c>
      <c r="E8" s="156">
        <f>D8-C8</f>
        <v>178052.77342461608</v>
      </c>
      <c r="F8" s="159">
        <f>IFERROR(E8/C8,)</f>
        <v>2.919262480302616E-2</v>
      </c>
      <c r="G8" s="158">
        <f>IFERROR(D8/$D$25,0)</f>
        <v>0.53572886468747005</v>
      </c>
      <c r="H8" s="259" t="b">
        <f>C8='[2]Anexo 1. Fontes e Aplicações'!F8</f>
        <v>1</v>
      </c>
      <c r="I8" s="264"/>
      <c r="J8" s="112" t="b">
        <f>J9='Diretrizes - Resumo'!AI4</f>
        <v>1</v>
      </c>
      <c r="K8" s="111"/>
      <c r="L8" s="111" t="s">
        <v>407</v>
      </c>
    </row>
    <row r="9" spans="1:22" x14ac:dyDescent="0.25">
      <c r="A9" s="367" t="s">
        <v>76</v>
      </c>
      <c r="B9" s="367"/>
      <c r="C9" s="156">
        <f>C10+C17+C18</f>
        <v>5082488.16</v>
      </c>
      <c r="D9" s="156">
        <f t="shared" ref="D9" si="1">D10+D17+D18</f>
        <v>5461135.4299999997</v>
      </c>
      <c r="E9" s="156">
        <f t="shared" ref="E9:E25" si="2">D9-C9</f>
        <v>378647.26999999955</v>
      </c>
      <c r="F9" s="159">
        <f t="shared" ref="F9:F34" si="3">IFERROR(E9/C9,)</f>
        <v>7.4500374241894846E-2</v>
      </c>
      <c r="G9" s="158">
        <f t="shared" ref="G9:G25" si="4">IFERROR(D9/$D$25,0)</f>
        <v>0.4660749165774965</v>
      </c>
      <c r="H9" s="259" t="b">
        <f>C9='[2]Anexo 1. Fontes e Aplicações'!F9</f>
        <v>1</v>
      </c>
      <c r="I9" s="111"/>
      <c r="J9" s="112">
        <f>J10+J17+J18</f>
        <v>5461135.4299999997</v>
      </c>
      <c r="K9" s="111" t="b">
        <f>D9=J9</f>
        <v>1</v>
      </c>
      <c r="L9" s="113">
        <f>D9-J9</f>
        <v>0</v>
      </c>
    </row>
    <row r="10" spans="1:22" x14ac:dyDescent="0.25">
      <c r="A10" s="367" t="s">
        <v>9</v>
      </c>
      <c r="B10" s="367"/>
      <c r="C10" s="156">
        <f>C11+C14</f>
        <v>2548823.2400000002</v>
      </c>
      <c r="D10" s="156">
        <f t="shared" ref="D10" si="5">D11+D14</f>
        <v>2776217.84</v>
      </c>
      <c r="E10" s="156">
        <f t="shared" si="2"/>
        <v>227394.59999999963</v>
      </c>
      <c r="F10" s="159">
        <f t="shared" si="3"/>
        <v>8.9215523631210936E-2</v>
      </c>
      <c r="G10" s="158">
        <f t="shared" si="4"/>
        <v>0.23693342067126827</v>
      </c>
      <c r="H10" s="259" t="b">
        <f>C10='[2]Anexo 1. Fontes e Aplicações'!F10</f>
        <v>1</v>
      </c>
      <c r="I10" s="111"/>
      <c r="J10" s="112">
        <f>J11+J14</f>
        <v>2776217.84</v>
      </c>
      <c r="K10" s="111" t="b">
        <f t="shared" ref="K10:K18" si="6">D10=J10</f>
        <v>1</v>
      </c>
      <c r="L10" s="113">
        <f t="shared" ref="L10:L20" si="7">D10-J10</f>
        <v>0</v>
      </c>
    </row>
    <row r="11" spans="1:22" x14ac:dyDescent="0.25">
      <c r="A11" s="367" t="s">
        <v>10</v>
      </c>
      <c r="B11" s="367"/>
      <c r="C11" s="156">
        <f>SUM(C12:C13)</f>
        <v>2318404.25</v>
      </c>
      <c r="D11" s="156">
        <f t="shared" ref="D11" si="8">SUM(D12:D13)</f>
        <v>2540486.56</v>
      </c>
      <c r="E11" s="156">
        <f t="shared" si="2"/>
        <v>222082.31000000006</v>
      </c>
      <c r="F11" s="159">
        <f t="shared" si="3"/>
        <v>9.5791020914493263E-2</v>
      </c>
      <c r="G11" s="158">
        <f t="shared" si="4"/>
        <v>0.21681518004732053</v>
      </c>
      <c r="H11" s="259" t="b">
        <f>C11='[2]Anexo 1. Fontes e Aplicações'!F11</f>
        <v>1</v>
      </c>
      <c r="I11" s="111"/>
      <c r="J11" s="112">
        <f>J12+J13</f>
        <v>2540486.56</v>
      </c>
      <c r="K11" s="111" t="b">
        <f t="shared" si="6"/>
        <v>1</v>
      </c>
      <c r="L11" s="113">
        <f t="shared" si="7"/>
        <v>0</v>
      </c>
    </row>
    <row r="12" spans="1:22" x14ac:dyDescent="0.25">
      <c r="A12" s="371" t="s">
        <v>382</v>
      </c>
      <c r="B12" s="371"/>
      <c r="C12" s="147">
        <v>1778339.41</v>
      </c>
      <c r="D12" s="147">
        <v>2072430.36</v>
      </c>
      <c r="E12" s="156">
        <f t="shared" si="2"/>
        <v>294090.95000000019</v>
      </c>
      <c r="F12" s="159">
        <f t="shared" si="3"/>
        <v>0.16537391475792587</v>
      </c>
      <c r="G12" s="158">
        <f t="shared" si="4"/>
        <v>0.17686941104657264</v>
      </c>
      <c r="H12" s="259" t="b">
        <f>C12='[2]Anexo 1. Fontes e Aplicações'!F12</f>
        <v>1</v>
      </c>
      <c r="I12" s="111"/>
      <c r="J12" s="112">
        <f>'Diretrizes - Resumo'!AI7</f>
        <v>2072430.36</v>
      </c>
      <c r="K12" s="111" t="b">
        <f t="shared" si="6"/>
        <v>1</v>
      </c>
      <c r="L12" s="113">
        <f t="shared" si="7"/>
        <v>0</v>
      </c>
    </row>
    <row r="13" spans="1:22" x14ac:dyDescent="0.25">
      <c r="A13" s="371" t="s">
        <v>74</v>
      </c>
      <c r="B13" s="371"/>
      <c r="C13" s="147">
        <v>540064.84000000008</v>
      </c>
      <c r="D13" s="147">
        <v>468056.2</v>
      </c>
      <c r="E13" s="156">
        <f t="shared" si="2"/>
        <v>-72008.640000000072</v>
      </c>
      <c r="F13" s="159">
        <f t="shared" si="3"/>
        <v>-0.13333332345797602</v>
      </c>
      <c r="G13" s="158">
        <f t="shared" si="4"/>
        <v>3.9945769000747901E-2</v>
      </c>
      <c r="H13" s="259" t="b">
        <f>C13='[2]Anexo 1. Fontes e Aplicações'!F13</f>
        <v>1</v>
      </c>
      <c r="I13" s="111"/>
      <c r="J13" s="112">
        <f>'Diretrizes - Resumo'!AI8</f>
        <v>468056.2</v>
      </c>
      <c r="K13" s="111" t="b">
        <f t="shared" si="6"/>
        <v>1</v>
      </c>
      <c r="L13" s="113">
        <f t="shared" si="7"/>
        <v>0</v>
      </c>
    </row>
    <row r="14" spans="1:22" x14ac:dyDescent="0.25">
      <c r="A14" s="367" t="s">
        <v>11</v>
      </c>
      <c r="B14" s="367"/>
      <c r="C14" s="156">
        <f>SUM(C15:C16)</f>
        <v>230418.99</v>
      </c>
      <c r="D14" s="156">
        <f t="shared" ref="D14" si="9">SUM(D15:D16)</f>
        <v>235731.28</v>
      </c>
      <c r="E14" s="156">
        <f t="shared" si="2"/>
        <v>5312.2900000000081</v>
      </c>
      <c r="F14" s="159">
        <f t="shared" si="3"/>
        <v>2.3054914006870736E-2</v>
      </c>
      <c r="G14" s="158">
        <f t="shared" si="4"/>
        <v>2.0118240623947771E-2</v>
      </c>
      <c r="H14" s="259" t="b">
        <f>C14='[2]Anexo 1. Fontes e Aplicações'!F14</f>
        <v>1</v>
      </c>
      <c r="I14" s="111"/>
      <c r="J14" s="112">
        <f>J15+J16</f>
        <v>235731.28</v>
      </c>
      <c r="K14" s="111" t="b">
        <f t="shared" si="6"/>
        <v>1</v>
      </c>
      <c r="L14" s="113">
        <f t="shared" si="7"/>
        <v>0</v>
      </c>
    </row>
    <row r="15" spans="1:22" x14ac:dyDescent="0.25">
      <c r="A15" s="371" t="s">
        <v>383</v>
      </c>
      <c r="B15" s="371"/>
      <c r="C15" s="147">
        <v>114278.56</v>
      </c>
      <c r="D15" s="147">
        <v>123973.51</v>
      </c>
      <c r="E15" s="156">
        <f t="shared" si="2"/>
        <v>9694.9499999999971</v>
      </c>
      <c r="F15" s="159">
        <f t="shared" si="3"/>
        <v>8.4836123241314884E-2</v>
      </c>
      <c r="G15" s="158">
        <f t="shared" si="4"/>
        <v>1.0580390116981484E-2</v>
      </c>
      <c r="H15" s="259" t="b">
        <f>C15='[2]Anexo 1. Fontes e Aplicações'!F15</f>
        <v>1</v>
      </c>
      <c r="I15" s="111"/>
      <c r="J15" s="112">
        <f>'Diretrizes - Resumo'!AI10</f>
        <v>123973.51</v>
      </c>
      <c r="K15" s="111" t="b">
        <f t="shared" si="6"/>
        <v>1</v>
      </c>
      <c r="L15" s="113">
        <f t="shared" si="7"/>
        <v>0</v>
      </c>
    </row>
    <row r="16" spans="1:22" x14ac:dyDescent="0.25">
      <c r="A16" s="371" t="s">
        <v>75</v>
      </c>
      <c r="B16" s="371"/>
      <c r="C16" s="147">
        <v>116140.43</v>
      </c>
      <c r="D16" s="147">
        <v>111757.77</v>
      </c>
      <c r="E16" s="156">
        <f t="shared" si="2"/>
        <v>-4382.6599999999889</v>
      </c>
      <c r="F16" s="159">
        <f t="shared" si="3"/>
        <v>-3.7735868551545655E-2</v>
      </c>
      <c r="G16" s="158">
        <f t="shared" si="4"/>
        <v>9.5378505069662854E-3</v>
      </c>
      <c r="H16" s="259" t="b">
        <f>C16='[2]Anexo 1. Fontes e Aplicações'!F16</f>
        <v>1</v>
      </c>
      <c r="I16" s="111"/>
      <c r="J16" s="112">
        <f>'Diretrizes - Resumo'!AI11</f>
        <v>111757.77</v>
      </c>
      <c r="K16" s="111" t="b">
        <f t="shared" si="6"/>
        <v>1</v>
      </c>
      <c r="L16" s="113">
        <f t="shared" si="7"/>
        <v>0</v>
      </c>
    </row>
    <row r="17" spans="1:12" x14ac:dyDescent="0.25">
      <c r="A17" s="357" t="s">
        <v>65</v>
      </c>
      <c r="B17" s="357"/>
      <c r="C17" s="147">
        <v>2283881.1799999997</v>
      </c>
      <c r="D17" s="147">
        <v>2434995.29</v>
      </c>
      <c r="E17" s="156">
        <f t="shared" si="2"/>
        <v>151114.11000000034</v>
      </c>
      <c r="F17" s="159">
        <f t="shared" si="3"/>
        <v>6.616548677020069E-2</v>
      </c>
      <c r="G17" s="158">
        <f t="shared" si="4"/>
        <v>0.20781213745752997</v>
      </c>
      <c r="H17" s="259" t="b">
        <f>C17='[2]Anexo 1. Fontes e Aplicações'!F17</f>
        <v>1</v>
      </c>
      <c r="I17" s="111"/>
      <c r="J17" s="112">
        <f>'Diretrizes - Resumo'!AI12</f>
        <v>2434995.29</v>
      </c>
      <c r="K17" s="111" t="b">
        <f t="shared" si="6"/>
        <v>1</v>
      </c>
      <c r="L17" s="113">
        <f t="shared" si="7"/>
        <v>0</v>
      </c>
    </row>
    <row r="18" spans="1:12" x14ac:dyDescent="0.25">
      <c r="A18" s="357" t="s">
        <v>153</v>
      </c>
      <c r="B18" s="357"/>
      <c r="C18" s="147">
        <v>249783.74000000002</v>
      </c>
      <c r="D18" s="147">
        <v>249922.3</v>
      </c>
      <c r="E18" s="156">
        <f t="shared" si="2"/>
        <v>138.55999999996857</v>
      </c>
      <c r="F18" s="159">
        <f t="shared" si="3"/>
        <v>5.5471985486312502E-4</v>
      </c>
      <c r="G18" s="158">
        <f t="shared" si="4"/>
        <v>2.1329358448698287E-2</v>
      </c>
      <c r="H18" s="259" t="b">
        <f>C18='[2]Anexo 1. Fontes e Aplicações'!F18</f>
        <v>1</v>
      </c>
      <c r="I18" s="111"/>
      <c r="J18" s="112">
        <f>'Diretrizes - Resumo'!AI13</f>
        <v>249922.3</v>
      </c>
      <c r="K18" s="111" t="b">
        <f t="shared" si="6"/>
        <v>1</v>
      </c>
      <c r="L18" s="113">
        <f t="shared" si="7"/>
        <v>0</v>
      </c>
    </row>
    <row r="19" spans="1:12" x14ac:dyDescent="0.25">
      <c r="A19" s="357" t="s">
        <v>12</v>
      </c>
      <c r="B19" s="357"/>
      <c r="C19" s="147">
        <v>999999.99657538347</v>
      </c>
      <c r="D19" s="147">
        <v>800000</v>
      </c>
      <c r="E19" s="156">
        <f t="shared" si="2"/>
        <v>-199999.99657538347</v>
      </c>
      <c r="F19" s="159">
        <f t="shared" si="3"/>
        <v>-0.19999999726030676</v>
      </c>
      <c r="G19" s="158">
        <f t="shared" si="4"/>
        <v>6.8275166957724981E-2</v>
      </c>
      <c r="H19" s="259" t="b">
        <f>C19='[2]Anexo 1. Fontes e Aplicações'!F19</f>
        <v>1</v>
      </c>
      <c r="I19" s="111"/>
      <c r="J19" s="112"/>
      <c r="K19" s="111"/>
      <c r="L19" s="111"/>
    </row>
    <row r="20" spans="1:12" x14ac:dyDescent="0.25">
      <c r="A20" s="357" t="s">
        <v>138</v>
      </c>
      <c r="B20" s="357"/>
      <c r="C20" s="147">
        <v>16750.079999999998</v>
      </c>
      <c r="D20" s="147">
        <v>16155.58</v>
      </c>
      <c r="E20" s="156">
        <f t="shared" si="2"/>
        <v>-594.49999999999818</v>
      </c>
      <c r="F20" s="159">
        <f t="shared" si="3"/>
        <v>-3.5492367797646238E-2</v>
      </c>
      <c r="G20" s="158">
        <f t="shared" si="4"/>
        <v>1.3787811522486032E-3</v>
      </c>
      <c r="H20" s="259" t="b">
        <f>C20='[2]Anexo 1. Fontes e Aplicações'!F20</f>
        <v>1</v>
      </c>
      <c r="I20" s="111"/>
      <c r="J20" s="112">
        <f>'Diretrizes - Resumo'!AI15</f>
        <v>16155.58</v>
      </c>
      <c r="K20" s="111" t="b">
        <f>J20&lt;D20</f>
        <v>0</v>
      </c>
      <c r="L20" s="113">
        <f t="shared" si="7"/>
        <v>0</v>
      </c>
    </row>
    <row r="21" spans="1:12" x14ac:dyDescent="0.25">
      <c r="A21" s="357" t="s">
        <v>13</v>
      </c>
      <c r="B21" s="357"/>
      <c r="C21" s="147"/>
      <c r="D21" s="147"/>
      <c r="E21" s="156">
        <f t="shared" si="2"/>
        <v>0</v>
      </c>
      <c r="F21" s="159">
        <f t="shared" si="3"/>
        <v>0</v>
      </c>
      <c r="G21" s="158">
        <f t="shared" si="4"/>
        <v>0</v>
      </c>
      <c r="H21" s="259" t="b">
        <f>C21='[2]Anexo 1. Fontes e Aplicações'!F21</f>
        <v>1</v>
      </c>
      <c r="I21" s="111"/>
      <c r="J21" s="112">
        <f>D20-J20</f>
        <v>0</v>
      </c>
      <c r="K21" s="111"/>
      <c r="L21" s="111"/>
    </row>
    <row r="22" spans="1:12" x14ac:dyDescent="0.25">
      <c r="A22" s="370" t="s">
        <v>281</v>
      </c>
      <c r="B22" s="370"/>
      <c r="C22" s="156">
        <f>SUM(C23:C24)</f>
        <v>5440000</v>
      </c>
      <c r="D22" s="156">
        <f>SUM(D23:D24)</f>
        <v>5440000</v>
      </c>
      <c r="E22" s="156">
        <f t="shared" si="2"/>
        <v>0</v>
      </c>
      <c r="F22" s="159">
        <f t="shared" si="3"/>
        <v>0</v>
      </c>
      <c r="G22" s="158">
        <f t="shared" si="4"/>
        <v>0.46427113531252989</v>
      </c>
      <c r="H22" s="259" t="b">
        <f>C22='[2]Anexo 1. Fontes e Aplicações'!F22</f>
        <v>1</v>
      </c>
      <c r="I22" s="111"/>
      <c r="J22" s="112"/>
      <c r="K22" s="111"/>
      <c r="L22" s="111"/>
    </row>
    <row r="23" spans="1:12" x14ac:dyDescent="0.25">
      <c r="A23" s="357" t="s">
        <v>14</v>
      </c>
      <c r="B23" s="357"/>
      <c r="C23" s="147">
        <v>5440000</v>
      </c>
      <c r="D23" s="147">
        <v>5440000</v>
      </c>
      <c r="E23" s="156">
        <f t="shared" si="2"/>
        <v>0</v>
      </c>
      <c r="F23" s="159">
        <f t="shared" si="3"/>
        <v>0</v>
      </c>
      <c r="G23" s="158">
        <f t="shared" si="4"/>
        <v>0.46427113531252989</v>
      </c>
      <c r="H23" s="259" t="b">
        <f>C23='[2]Anexo 1. Fontes e Aplicações'!F23</f>
        <v>1</v>
      </c>
      <c r="I23" s="111"/>
      <c r="J23" s="112">
        <f>'Diretrizes - Resumo'!AL8</f>
        <v>10977447.08</v>
      </c>
      <c r="K23" s="111" t="b">
        <f>J23&lt;=D23</f>
        <v>0</v>
      </c>
      <c r="L23" s="113">
        <f t="shared" ref="L23" si="10">D23-J23</f>
        <v>-5537447.0800000001</v>
      </c>
    </row>
    <row r="24" spans="1:12" x14ac:dyDescent="0.25">
      <c r="A24" s="357" t="s">
        <v>137</v>
      </c>
      <c r="B24" s="357"/>
      <c r="C24" s="147"/>
      <c r="D24" s="147"/>
      <c r="E24" s="156">
        <f t="shared" si="2"/>
        <v>0</v>
      </c>
      <c r="F24" s="159">
        <f t="shared" si="3"/>
        <v>0</v>
      </c>
      <c r="G24" s="158">
        <f t="shared" si="4"/>
        <v>0</v>
      </c>
      <c r="H24" s="259" t="b">
        <f>C24='[2]Anexo 1. Fontes e Aplicações'!F24</f>
        <v>1</v>
      </c>
      <c r="I24" s="111"/>
      <c r="J24" s="112"/>
      <c r="K24" s="111"/>
      <c r="L24" s="111"/>
    </row>
    <row r="25" spans="1:12" x14ac:dyDescent="0.25">
      <c r="A25" s="370" t="s">
        <v>15</v>
      </c>
      <c r="B25" s="370"/>
      <c r="C25" s="156">
        <f>SUM(C8,C22)</f>
        <v>11539238.236575384</v>
      </c>
      <c r="D25" s="156">
        <f>SUM(D8,D22)</f>
        <v>11717291.01</v>
      </c>
      <c r="E25" s="156">
        <f t="shared" si="2"/>
        <v>178052.77342461608</v>
      </c>
      <c r="F25" s="159">
        <f t="shared" si="3"/>
        <v>1.5430201697391994E-2</v>
      </c>
      <c r="G25" s="158">
        <f t="shared" si="4"/>
        <v>1</v>
      </c>
      <c r="H25" s="259" t="b">
        <f>C25='[2]Anexo 1. Fontes e Aplicações'!F25</f>
        <v>1</v>
      </c>
      <c r="I25" s="111"/>
      <c r="J25" s="112"/>
      <c r="K25" s="111"/>
      <c r="L25" s="111"/>
    </row>
    <row r="26" spans="1:12" x14ac:dyDescent="0.25">
      <c r="A26" s="365" t="s">
        <v>367</v>
      </c>
      <c r="B26" s="386"/>
      <c r="C26" s="386"/>
      <c r="D26" s="386"/>
      <c r="E26" s="386"/>
      <c r="F26" s="386"/>
      <c r="G26" s="366"/>
      <c r="H26" s="111"/>
      <c r="I26" s="111"/>
      <c r="J26" s="112"/>
      <c r="K26" s="111"/>
      <c r="L26" s="111"/>
    </row>
    <row r="27" spans="1:12" x14ac:dyDescent="0.25">
      <c r="A27" s="367" t="s">
        <v>282</v>
      </c>
      <c r="B27" s="367"/>
      <c r="C27" s="156">
        <f>SUM(C28:C30)</f>
        <v>11050658.210000001</v>
      </c>
      <c r="D27" s="156">
        <f>SUM(D28:D30)</f>
        <v>11084756.629999999</v>
      </c>
      <c r="E27" s="156">
        <f t="shared" ref="E27" si="11">D27-C27</f>
        <v>34098.419999998063</v>
      </c>
      <c r="F27" s="159">
        <f t="shared" si="3"/>
        <v>3.0856460630681345E-3</v>
      </c>
      <c r="G27" s="159">
        <f>IFERROR(D27/$D$34,0)</f>
        <v>0.94601701199874877</v>
      </c>
      <c r="H27" s="259" t="b">
        <f>C27='[2]Anexo 1. Fontes e Aplicações'!F29</f>
        <v>1</v>
      </c>
      <c r="I27" s="111"/>
      <c r="J27" s="112"/>
      <c r="K27" s="111"/>
      <c r="L27" s="111"/>
    </row>
    <row r="28" spans="1:12" x14ac:dyDescent="0.25">
      <c r="A28" s="367" t="s">
        <v>283</v>
      </c>
      <c r="B28" s="367"/>
      <c r="C28" s="157">
        <f>SUMIF('Quadro Geral'!$B$8:$B$39,"p",'Quadro Geral'!$H$8:$H$39)+SUMIF('Quadro Geral'!$B$8:$B$39,"p.",'Quadro Geral'!$H$8:$H$39)</f>
        <v>5978400</v>
      </c>
      <c r="D28" s="157">
        <f>SUMIF('Quadro Geral'!$B$8:$B$39,"p",'Quadro Geral'!$I$8:$I$39)</f>
        <v>5940000</v>
      </c>
      <c r="E28" s="156">
        <f t="shared" ref="E28:E34" si="12">D28-C28</f>
        <v>-38400</v>
      </c>
      <c r="F28" s="159">
        <f t="shared" si="3"/>
        <v>-6.4231232436772383E-3</v>
      </c>
      <c r="G28" s="159">
        <f t="shared" ref="G28:G34" si="13">IFERROR(D28/$D$34,0)</f>
        <v>0.50694311466110809</v>
      </c>
      <c r="H28" s="259" t="b">
        <f>C28='[2]Anexo 1. Fontes e Aplicações'!F30</f>
        <v>1</v>
      </c>
      <c r="I28" s="111" t="b">
        <f>D28='Matriz de Obj. Estrat.'!D19</f>
        <v>1</v>
      </c>
      <c r="J28" s="112"/>
      <c r="K28" s="111"/>
      <c r="L28" s="111"/>
    </row>
    <row r="29" spans="1:12" x14ac:dyDescent="0.25">
      <c r="A29" s="368" t="s">
        <v>424</v>
      </c>
      <c r="B29" s="369"/>
      <c r="C29" s="157">
        <f>SUMIF('Quadro Geral'!$B$8:$B$39,"pe",'Quadro Geral'!$H$8:$H$39)+SUMIF('Quadro Geral'!$B$8:$B$39,"pe.",'Quadro Geral'!$H$8:$H$39)</f>
        <v>0</v>
      </c>
      <c r="D29" s="157">
        <f>SUMIF('Quadro Geral'!$B$8:$B$39,"pe",'Quadro Geral'!$I$8:$I$39)</f>
        <v>0</v>
      </c>
      <c r="E29" s="156">
        <f t="shared" si="12"/>
        <v>0</v>
      </c>
      <c r="F29" s="159">
        <f t="shared" si="3"/>
        <v>0</v>
      </c>
      <c r="G29" s="159">
        <f t="shared" si="13"/>
        <v>0</v>
      </c>
      <c r="H29" s="259" t="b">
        <f>C29='[2]Anexo 1. Fontes e Aplicações'!F31</f>
        <v>1</v>
      </c>
      <c r="I29" s="111"/>
      <c r="J29" s="112"/>
      <c r="K29" s="111"/>
      <c r="L29" s="111"/>
    </row>
    <row r="30" spans="1:12" x14ac:dyDescent="0.25">
      <c r="A30" s="367" t="s">
        <v>284</v>
      </c>
      <c r="B30" s="367"/>
      <c r="C30" s="157">
        <f>SUMIF('Quadro Geral'!$B$8:$B$39,"a",'Quadro Geral'!$H$8:$H$39)+SUMIF('Quadro Geral'!$B$8:$B$39,"a.",'Quadro Geral'!$H$8:$H$39)-C31-C32-C33</f>
        <v>5072258.2100000009</v>
      </c>
      <c r="D30" s="157">
        <f>SUMIF('Quadro Geral'!$B$8:$B$39,"a",'Quadro Geral'!$I$8:$I$39)-D31-D32-D33</f>
        <v>5144756.63</v>
      </c>
      <c r="E30" s="156">
        <f t="shared" si="12"/>
        <v>72498.419999998994</v>
      </c>
      <c r="F30" s="159">
        <f t="shared" si="3"/>
        <v>1.4293124876227265E-2</v>
      </c>
      <c r="G30" s="159">
        <f t="shared" si="13"/>
        <v>0.43907389733764074</v>
      </c>
      <c r="H30" s="259" t="b">
        <f>C30='[2]Anexo 1. Fontes e Aplicações'!F32</f>
        <v>1</v>
      </c>
      <c r="I30" s="111" t="b">
        <f>'Matriz de Obj. Estrat.'!H19-D31-D32-D33=D30</f>
        <v>1</v>
      </c>
      <c r="J30" s="112"/>
      <c r="K30" s="111"/>
      <c r="L30" s="111"/>
    </row>
    <row r="31" spans="1:12" x14ac:dyDescent="0.25">
      <c r="A31" s="357" t="s">
        <v>285</v>
      </c>
      <c r="B31" s="357"/>
      <c r="C31" s="147">
        <v>63933.476996403595</v>
      </c>
      <c r="D31" s="147">
        <f>'Quadro Geral'!I23</f>
        <v>101574.18</v>
      </c>
      <c r="E31" s="156">
        <f t="shared" si="12"/>
        <v>37640.703003596398</v>
      </c>
      <c r="F31" s="159">
        <f t="shared" si="3"/>
        <v>0.58874794195400593</v>
      </c>
      <c r="G31" s="159">
        <f t="shared" si="13"/>
        <v>8.6687426226175132E-3</v>
      </c>
      <c r="H31" s="259" t="b">
        <f>C31='[2]Anexo 1. Fontes e Aplicações'!F33</f>
        <v>1</v>
      </c>
      <c r="I31" s="111"/>
      <c r="J31" s="112"/>
      <c r="K31" s="111"/>
      <c r="L31" s="111"/>
    </row>
    <row r="32" spans="1:12" x14ac:dyDescent="0.25">
      <c r="A32" s="357" t="s">
        <v>286</v>
      </c>
      <c r="B32" s="357"/>
      <c r="C32" s="147">
        <v>383646.54957897874</v>
      </c>
      <c r="D32" s="147">
        <f>'Quadro Geral'!I30+'Quadro Geral'!I31</f>
        <v>489960.19999999995</v>
      </c>
      <c r="E32" s="156">
        <f t="shared" si="12"/>
        <v>106313.65042102122</v>
      </c>
      <c r="F32" s="159">
        <f t="shared" si="3"/>
        <v>0.27711353207188205</v>
      </c>
      <c r="G32" s="159">
        <f t="shared" si="13"/>
        <v>4.1815143072050406E-2</v>
      </c>
      <c r="H32" s="259" t="b">
        <f>C32='[2]Anexo 1. Fontes e Aplicações'!F34</f>
        <v>1</v>
      </c>
      <c r="I32" s="111"/>
      <c r="J32" s="112"/>
      <c r="K32" s="111"/>
      <c r="L32" s="111"/>
    </row>
    <row r="33" spans="1:12" x14ac:dyDescent="0.25">
      <c r="A33" s="357" t="s">
        <v>287</v>
      </c>
      <c r="B33" s="357"/>
      <c r="C33" s="147">
        <v>41000</v>
      </c>
      <c r="D33" s="147">
        <f>'Quadro Geral'!I33</f>
        <v>41000</v>
      </c>
      <c r="E33" s="156">
        <f t="shared" si="12"/>
        <v>0</v>
      </c>
      <c r="F33" s="159">
        <f t="shared" si="3"/>
        <v>0</v>
      </c>
      <c r="G33" s="159">
        <f t="shared" si="13"/>
        <v>3.4991023065834058E-3</v>
      </c>
      <c r="H33" s="259" t="b">
        <f>C33='[2]Anexo 1. Fontes e Aplicações'!F35</f>
        <v>1</v>
      </c>
      <c r="I33" s="111"/>
      <c r="J33" s="112"/>
      <c r="K33" s="111"/>
      <c r="L33" s="111"/>
    </row>
    <row r="34" spans="1:12" x14ac:dyDescent="0.25">
      <c r="A34" s="370" t="s">
        <v>16</v>
      </c>
      <c r="B34" s="370"/>
      <c r="C34" s="156">
        <f>SUM(C27,C31:C33)</f>
        <v>11539238.236575384</v>
      </c>
      <c r="D34" s="156">
        <f>SUM(D27,D31:D33)</f>
        <v>11717291.009999998</v>
      </c>
      <c r="E34" s="156">
        <f t="shared" si="12"/>
        <v>178052.77342461422</v>
      </c>
      <c r="F34" s="159">
        <f t="shared" si="3"/>
        <v>1.5430201697391833E-2</v>
      </c>
      <c r="G34" s="159">
        <f t="shared" si="13"/>
        <v>1</v>
      </c>
      <c r="H34" s="259" t="b">
        <f>C34='[2]Anexo 1. Fontes e Aplicações'!F36</f>
        <v>1</v>
      </c>
      <c r="I34" s="111"/>
      <c r="J34" s="112"/>
      <c r="K34" s="111"/>
      <c r="L34" s="111"/>
    </row>
    <row r="35" spans="1:12" x14ac:dyDescent="0.25">
      <c r="A35" s="370" t="s">
        <v>17</v>
      </c>
      <c r="B35" s="370"/>
      <c r="C35" s="156">
        <f>C25-C34</f>
        <v>0</v>
      </c>
      <c r="D35" s="156">
        <f t="shared" ref="D35:E35" si="14">D25-D34</f>
        <v>0</v>
      </c>
      <c r="E35" s="156">
        <f t="shared" si="14"/>
        <v>1.862645149230957E-9</v>
      </c>
      <c r="F35" s="159"/>
      <c r="G35" s="159"/>
      <c r="H35" s="259" t="b">
        <f>C35='[2]Anexo 1. Fontes e Aplicações'!F37</f>
        <v>1</v>
      </c>
      <c r="I35" s="111"/>
      <c r="J35" s="112"/>
      <c r="K35" s="111"/>
      <c r="L35" s="111"/>
    </row>
    <row r="36" spans="1:12" x14ac:dyDescent="0.25">
      <c r="A36" s="89"/>
      <c r="B36" s="89"/>
      <c r="C36" s="140" t="b">
        <f>C34='Quadro Geral'!H40</f>
        <v>1</v>
      </c>
      <c r="D36" s="140" t="b">
        <f>D34='Quadro Geral'!I40</f>
        <v>1</v>
      </c>
      <c r="E36" s="262">
        <f>E34-'Quadro Geral'!K40</f>
        <v>-3.3178366720676422E-9</v>
      </c>
      <c r="F36" s="140"/>
      <c r="G36" s="90"/>
    </row>
    <row r="37" spans="1:12" x14ac:dyDescent="0.25">
      <c r="A37" s="382" t="s">
        <v>387</v>
      </c>
      <c r="B37" s="383"/>
      <c r="C37" s="383"/>
      <c r="D37" s="383"/>
      <c r="E37" s="383"/>
      <c r="F37" s="383"/>
      <c r="G37" s="383"/>
    </row>
    <row r="38" spans="1:12" x14ac:dyDescent="0.25">
      <c r="A38" s="127" t="s">
        <v>68</v>
      </c>
      <c r="B38" s="378" t="s">
        <v>391</v>
      </c>
      <c r="C38" s="379"/>
      <c r="D38" s="380"/>
      <c r="E38" s="378" t="s">
        <v>392</v>
      </c>
      <c r="F38" s="379"/>
      <c r="G38" s="380"/>
    </row>
    <row r="39" spans="1:12" ht="47.25" x14ac:dyDescent="0.25">
      <c r="A39" s="127"/>
      <c r="B39" s="128" t="s">
        <v>386</v>
      </c>
      <c r="C39" s="128" t="s">
        <v>384</v>
      </c>
      <c r="D39" s="128" t="s">
        <v>151</v>
      </c>
      <c r="E39" s="128" t="s">
        <v>386</v>
      </c>
      <c r="F39" s="128" t="s">
        <v>384</v>
      </c>
      <c r="G39" s="128" t="s">
        <v>151</v>
      </c>
    </row>
    <row r="40" spans="1:12" x14ac:dyDescent="0.25">
      <c r="A40" s="114" t="s">
        <v>69</v>
      </c>
      <c r="B40" s="160">
        <f>C8</f>
        <v>6099238.2365753837</v>
      </c>
      <c r="C40" s="160">
        <f>D8</f>
        <v>6277291.0099999998</v>
      </c>
      <c r="D40" s="163">
        <f>IFERROR(C40/B40-1,)</f>
        <v>2.919262480302609E-2</v>
      </c>
      <c r="E40" s="161">
        <v>6099238.2365753828</v>
      </c>
      <c r="F40" s="160">
        <f>'Anexo 3. Elemento de Despesas'!O39</f>
        <v>6277291.0099999988</v>
      </c>
      <c r="G40" s="163">
        <f>IFERROR(F40/E40-1,)</f>
        <v>2.919262480302609E-2</v>
      </c>
      <c r="H40" s="260" t="b">
        <f>B40='[3]Anexo 1. Fontes e Aplicações'!C42</f>
        <v>1</v>
      </c>
      <c r="I40" s="91" t="b">
        <f>E40='[3]Anexo 1. Fontes e Aplicações'!F42</f>
        <v>1</v>
      </c>
      <c r="J40" s="93" t="b">
        <f>F40='Anexo 3. Elemento de Despesas'!O39</f>
        <v>1</v>
      </c>
    </row>
    <row r="41" spans="1:12" x14ac:dyDescent="0.25">
      <c r="A41" s="114" t="s">
        <v>70</v>
      </c>
      <c r="B41" s="160">
        <f>C22</f>
        <v>5440000</v>
      </c>
      <c r="C41" s="160">
        <f>D22</f>
        <v>5440000</v>
      </c>
      <c r="D41" s="163">
        <f t="shared" ref="D41:D42" si="15">IFERROR(C41/B41-1,)</f>
        <v>0</v>
      </c>
      <c r="E41" s="161">
        <v>5440000</v>
      </c>
      <c r="F41" s="160">
        <f>'Anexo 3. Elemento de Despesas'!P39</f>
        <v>5440000</v>
      </c>
      <c r="G41" s="163">
        <f t="shared" ref="G41:G42" si="16">IFERROR(F41/E41-1,)</f>
        <v>0</v>
      </c>
      <c r="H41" s="260" t="b">
        <f>B41='[3]Anexo 1. Fontes e Aplicações'!C43</f>
        <v>1</v>
      </c>
      <c r="I41" s="91" t="b">
        <f>E41='[3]Anexo 1. Fontes e Aplicações'!F43</f>
        <v>1</v>
      </c>
      <c r="J41" s="93" t="b">
        <f>F41='Anexo 3. Elemento de Despesas'!P39</f>
        <v>1</v>
      </c>
    </row>
    <row r="42" spans="1:12" x14ac:dyDescent="0.25">
      <c r="A42" s="165" t="s">
        <v>0</v>
      </c>
      <c r="B42" s="166">
        <f>SUM(B40:B41)</f>
        <v>11539238.236575384</v>
      </c>
      <c r="C42" s="166">
        <f>SUM(C40:C41)</f>
        <v>11717291.01</v>
      </c>
      <c r="D42" s="164">
        <f t="shared" si="15"/>
        <v>1.5430201697391954E-2</v>
      </c>
      <c r="E42" s="166">
        <f>SUM(E40:E41)</f>
        <v>11539238.236575384</v>
      </c>
      <c r="F42" s="166">
        <f>SUM(F40:F41)</f>
        <v>11717291.009999998</v>
      </c>
      <c r="G42" s="164">
        <f t="shared" si="16"/>
        <v>1.5430201697391732E-2</v>
      </c>
      <c r="H42" s="260" t="b">
        <f>B42='[3]Anexo 1. Fontes e Aplicações'!C44</f>
        <v>1</v>
      </c>
      <c r="I42" s="91" t="b">
        <f>E42='[3]Anexo 1. Fontes e Aplicações'!F44</f>
        <v>1</v>
      </c>
    </row>
    <row r="43" spans="1:12" x14ac:dyDescent="0.25">
      <c r="A43" s="384"/>
      <c r="B43" s="385"/>
      <c r="C43" s="385"/>
      <c r="D43" s="385"/>
      <c r="E43" s="385"/>
      <c r="F43" s="385"/>
      <c r="G43" s="385"/>
    </row>
    <row r="44" spans="1:12" ht="31.5" x14ac:dyDescent="0.25">
      <c r="A44" s="128" t="s">
        <v>7</v>
      </c>
      <c r="B44" s="128" t="s">
        <v>218</v>
      </c>
      <c r="C44" s="128" t="s">
        <v>219</v>
      </c>
      <c r="D44" s="128" t="s">
        <v>220</v>
      </c>
    </row>
    <row r="45" spans="1:12" x14ac:dyDescent="0.25">
      <c r="A45" s="127" t="s">
        <v>107</v>
      </c>
      <c r="B45" s="162">
        <f>D8</f>
        <v>6277291.0099999998</v>
      </c>
      <c r="C45" s="162">
        <f>D22</f>
        <v>5440000</v>
      </c>
      <c r="D45" s="162">
        <f>SUM(B45:C45)</f>
        <v>11717291.01</v>
      </c>
      <c r="E45" s="85" t="b">
        <f>D45=D34</f>
        <v>1</v>
      </c>
    </row>
    <row r="46" spans="1:12" x14ac:dyDescent="0.25">
      <c r="A46" s="127" t="s">
        <v>108</v>
      </c>
      <c r="B46" s="162">
        <f>'Anexo 3. Elemento de Despesas'!O39</f>
        <v>6277291.0099999988</v>
      </c>
      <c r="C46" s="162">
        <f>'Anexo 3. Elemento de Despesas'!P39</f>
        <v>5440000</v>
      </c>
      <c r="D46" s="162">
        <f>SUM(B46:C46)</f>
        <v>11717291.009999998</v>
      </c>
    </row>
    <row r="47" spans="1:12" x14ac:dyDescent="0.25">
      <c r="A47" s="129" t="s">
        <v>17</v>
      </c>
      <c r="B47" s="167">
        <f>B45-B46</f>
        <v>0</v>
      </c>
      <c r="C47" s="167">
        <f t="shared" ref="C47:D47" si="17">C45-C46</f>
        <v>0</v>
      </c>
      <c r="D47" s="167">
        <f t="shared" si="17"/>
        <v>0</v>
      </c>
    </row>
    <row r="48" spans="1:12" x14ac:dyDescent="0.25"/>
    <row r="49" spans="1:7" ht="18" customHeight="1" x14ac:dyDescent="0.25">
      <c r="A49" s="128" t="s">
        <v>425</v>
      </c>
      <c r="B49" s="128" t="s">
        <v>280</v>
      </c>
    </row>
    <row r="50" spans="1:7" x14ac:dyDescent="0.25">
      <c r="A50" s="128" t="s">
        <v>393</v>
      </c>
      <c r="B50" s="162">
        <f>'Diretrizes - Resumo'!AL8</f>
        <v>10977447.08</v>
      </c>
      <c r="C50" s="218" t="b">
        <f>B50='Diretrizes - Resumo'!AL8</f>
        <v>1</v>
      </c>
    </row>
    <row r="51" spans="1:7" x14ac:dyDescent="0.25">
      <c r="A51" s="128" t="s">
        <v>272</v>
      </c>
      <c r="B51" s="162">
        <f>C46</f>
        <v>5440000</v>
      </c>
      <c r="C51" s="85" t="b">
        <f>B51=C46</f>
        <v>1</v>
      </c>
    </row>
    <row r="52" spans="1:7" x14ac:dyDescent="0.25">
      <c r="A52" s="128" t="s">
        <v>374</v>
      </c>
      <c r="B52" s="119">
        <f>IFERROR(B51/B50,)</f>
        <v>0.49556148714314729</v>
      </c>
    </row>
    <row r="53" spans="1:7" x14ac:dyDescent="0.25">
      <c r="A53" s="128" t="s">
        <v>426</v>
      </c>
      <c r="B53" s="162">
        <f>D29</f>
        <v>0</v>
      </c>
    </row>
    <row r="54" spans="1:7" x14ac:dyDescent="0.25">
      <c r="A54" s="128" t="s">
        <v>375</v>
      </c>
      <c r="B54" s="119">
        <f>IFERROR(B53/B50,)</f>
        <v>0</v>
      </c>
    </row>
    <row r="55" spans="1:7" x14ac:dyDescent="0.25">
      <c r="A55" s="128" t="s">
        <v>273</v>
      </c>
      <c r="B55" s="162">
        <f>B50-B51-B53</f>
        <v>5537447.0800000001</v>
      </c>
    </row>
    <row r="56" spans="1:7" x14ac:dyDescent="0.25">
      <c r="A56" s="91"/>
      <c r="B56" s="91"/>
    </row>
    <row r="57" spans="1:7" x14ac:dyDescent="0.25">
      <c r="A57" s="372" t="s">
        <v>216</v>
      </c>
      <c r="B57" s="373"/>
      <c r="C57" s="373"/>
      <c r="D57" s="373"/>
      <c r="E57" s="373"/>
      <c r="F57" s="373"/>
      <c r="G57" s="374"/>
    </row>
    <row r="58" spans="1:7" ht="72" customHeight="1" x14ac:dyDescent="0.25">
      <c r="A58" s="375" t="s">
        <v>555</v>
      </c>
      <c r="B58" s="376"/>
      <c r="C58" s="376"/>
      <c r="D58" s="376"/>
      <c r="E58" s="376"/>
      <c r="F58" s="376"/>
      <c r="G58" s="377"/>
    </row>
  </sheetData>
  <mergeCells count="48">
    <mergeCell ref="A57:G57"/>
    <mergeCell ref="A58:G58"/>
    <mergeCell ref="E38:G38"/>
    <mergeCell ref="B38:D38"/>
    <mergeCell ref="A4:E4"/>
    <mergeCell ref="A37:G37"/>
    <mergeCell ref="A43:G43"/>
    <mergeCell ref="A32:B32"/>
    <mergeCell ref="A23:B23"/>
    <mergeCell ref="A12:B12"/>
    <mergeCell ref="A13:B13"/>
    <mergeCell ref="A14:B14"/>
    <mergeCell ref="A26:G26"/>
    <mergeCell ref="G5:G7"/>
    <mergeCell ref="F6:F7"/>
    <mergeCell ref="A34:B34"/>
    <mergeCell ref="A35:B35"/>
    <mergeCell ref="A8:B8"/>
    <mergeCell ref="A9:B9"/>
    <mergeCell ref="A18:B18"/>
    <mergeCell ref="A19:B19"/>
    <mergeCell ref="A20:B20"/>
    <mergeCell ref="A21:B21"/>
    <mergeCell ref="A22:B22"/>
    <mergeCell ref="A28:B28"/>
    <mergeCell ref="A30:B30"/>
    <mergeCell ref="A15:B15"/>
    <mergeCell ref="A16:B16"/>
    <mergeCell ref="A31:B31"/>
    <mergeCell ref="A24:B24"/>
    <mergeCell ref="A25:B25"/>
    <mergeCell ref="A1:G1"/>
    <mergeCell ref="A33:B33"/>
    <mergeCell ref="A2:G2"/>
    <mergeCell ref="A3:G3"/>
    <mergeCell ref="E5:F5"/>
    <mergeCell ref="A5:B6"/>
    <mergeCell ref="A7:B7"/>
    <mergeCell ref="A27:B27"/>
    <mergeCell ref="A29:B29"/>
    <mergeCell ref="A17:B17"/>
    <mergeCell ref="A10:B10"/>
    <mergeCell ref="A11:B11"/>
    <mergeCell ref="O2:R6"/>
    <mergeCell ref="S2:V6"/>
    <mergeCell ref="E6:E7"/>
    <mergeCell ref="D5:D7"/>
    <mergeCell ref="C5:C7"/>
  </mergeCells>
  <phoneticPr fontId="18" type="noConversion"/>
  <conditionalFormatting sqref="C36:F36">
    <cfRule type="cellIs" dxfId="20" priority="9" operator="equal">
      <formula>TRUE</formula>
    </cfRule>
  </conditionalFormatting>
  <conditionalFormatting sqref="H8:H35">
    <cfRule type="containsText" dxfId="19" priority="1" operator="containsText" text="VERDADEIRO">
      <formula>NOT(ISERROR(SEARCH("VERDADEIRO",H8)))</formula>
    </cfRule>
  </conditionalFormatting>
  <conditionalFormatting sqref="K9:K18">
    <cfRule type="cellIs" dxfId="18" priority="7" operator="equal">
      <formula>TRUE</formula>
    </cfRule>
    <cfRule type="cellIs" dxfId="17" priority="8" operator="equal">
      <formula>FALSE</formula>
    </cfRule>
  </conditionalFormatting>
  <conditionalFormatting sqref="K20">
    <cfRule type="cellIs" dxfId="16" priority="2" operator="equal">
      <formula>TRUE</formula>
    </cfRule>
    <cfRule type="cellIs" dxfId="15" priority="3" operator="equal">
      <formula>FALSE</formula>
    </cfRule>
  </conditionalFormatting>
  <conditionalFormatting sqref="K23">
    <cfRule type="cellIs" dxfId="14" priority="4" operator="equal">
      <formula>FALSE</formula>
    </cfRule>
    <cfRule type="cellIs" dxfId="13" priority="5" operator="equal">
      <formula>TRUE</formula>
    </cfRule>
  </conditionalFormatting>
  <pageMargins left="0.23622047244094491" right="0.23622047244094491" top="0.74803149606299213" bottom="0.74803149606299213" header="0.31496062992125984" footer="0.31496062992125984"/>
  <pageSetup paperSize="9" scale="81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>
    <tabColor rgb="FFFF6900"/>
    <pageSetUpPr fitToPage="1"/>
  </sheetPr>
  <dimension ref="A1:Y66"/>
  <sheetViews>
    <sheetView zoomScale="60" zoomScaleNormal="60" zoomScaleSheetLayoutView="100" workbookViewId="0">
      <selection activeCell="S12" sqref="S12"/>
    </sheetView>
  </sheetViews>
  <sheetFormatPr defaultColWidth="9.140625" defaultRowHeight="15.75" zeroHeight="1" x14ac:dyDescent="0.25"/>
  <cols>
    <col min="1" max="1" width="11" style="53" customWidth="1"/>
    <col min="2" max="2" width="62.85546875" style="53" customWidth="1"/>
    <col min="3" max="3" width="20.140625" style="53" customWidth="1"/>
    <col min="4" max="5" width="30.42578125" style="53" customWidth="1"/>
    <col min="6" max="6" width="19.5703125" style="53" customWidth="1"/>
    <col min="7" max="7" width="20" style="171" hidden="1" customWidth="1"/>
    <col min="8" max="9" width="20" style="171" customWidth="1"/>
    <col min="10" max="16384" width="9.140625" style="53"/>
  </cols>
  <sheetData>
    <row r="1" spans="1:25" ht="25.5" customHeight="1" x14ac:dyDescent="0.25">
      <c r="A1" s="392" t="s">
        <v>56</v>
      </c>
      <c r="B1" s="392"/>
      <c r="C1" s="392"/>
      <c r="D1" s="392"/>
      <c r="E1" s="392"/>
      <c r="F1" s="392"/>
    </row>
    <row r="2" spans="1:25" ht="25.5" customHeight="1" x14ac:dyDescent="0.25">
      <c r="A2" s="358" t="str">
        <f>'Indicadores e Metas'!A2:F2</f>
        <v>CAU/UF:  CAU/BA</v>
      </c>
      <c r="B2" s="359"/>
      <c r="C2" s="359"/>
      <c r="D2" s="359"/>
      <c r="E2" s="359"/>
      <c r="F2" s="360"/>
    </row>
    <row r="3" spans="1:25" ht="25.5" customHeight="1" x14ac:dyDescent="0.25">
      <c r="A3" s="358" t="s">
        <v>405</v>
      </c>
      <c r="B3" s="359"/>
      <c r="C3" s="359"/>
      <c r="D3" s="359"/>
      <c r="E3" s="359"/>
      <c r="F3" s="360"/>
    </row>
    <row r="4" spans="1:25" x14ac:dyDescent="0.25"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</row>
    <row r="5" spans="1:25" ht="231" customHeight="1" x14ac:dyDescent="0.25">
      <c r="A5" s="399" t="s">
        <v>549</v>
      </c>
      <c r="B5" s="400"/>
      <c r="C5" s="401"/>
      <c r="D5" s="396" t="s">
        <v>429</v>
      </c>
      <c r="E5" s="397"/>
      <c r="F5" s="398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</row>
    <row r="6" spans="1:25" x14ac:dyDescent="0.25">
      <c r="G6" s="168"/>
      <c r="H6" s="168"/>
      <c r="I6" s="168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5" ht="39" customHeight="1" x14ac:dyDescent="0.25">
      <c r="A7" s="404" t="s">
        <v>44</v>
      </c>
      <c r="B7" s="405" t="s">
        <v>46</v>
      </c>
      <c r="C7" s="405"/>
      <c r="D7" s="126" t="str">
        <f>D18</f>
        <v>Reprogramação
 2023</v>
      </c>
      <c r="E7" s="126" t="str">
        <f>E18</f>
        <v>Programação
 2024</v>
      </c>
      <c r="F7" s="126" t="s">
        <v>3</v>
      </c>
      <c r="G7" s="168"/>
      <c r="H7" s="168"/>
      <c r="I7" s="168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</row>
    <row r="8" spans="1:25" ht="39" customHeight="1" x14ac:dyDescent="0.25">
      <c r="A8" s="404"/>
      <c r="B8" s="407" t="s">
        <v>62</v>
      </c>
      <c r="C8" s="407"/>
      <c r="D8" s="219">
        <v>2444498.37</v>
      </c>
      <c r="E8" s="204">
        <f>'Anexo 3. Elemento de Despesas'!F39</f>
        <v>2587869.1800000002</v>
      </c>
      <c r="F8" s="109">
        <f>IFERROR(E8/D8-100/100,0)</f>
        <v>5.8650401145491582E-2</v>
      </c>
      <c r="G8" s="168" t="b">
        <f>D8='[2]Anexo 2. Limites Estratégicos'!N6</f>
        <v>1</v>
      </c>
      <c r="H8" s="168"/>
      <c r="I8" s="168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</row>
    <row r="9" spans="1:25" ht="39" customHeight="1" x14ac:dyDescent="0.25">
      <c r="A9" s="404"/>
      <c r="B9" s="407" t="s">
        <v>57</v>
      </c>
      <c r="C9" s="407"/>
      <c r="D9" s="219">
        <v>344304.72</v>
      </c>
      <c r="E9" s="220">
        <v>429163.51</v>
      </c>
      <c r="F9" s="109">
        <f t="shared" ref="F9:F10" si="0">IFERROR(E9/D9-100/100,0)</f>
        <v>0.2464642076356085</v>
      </c>
      <c r="G9" s="168" t="b">
        <f>D9='[2]Anexo 2. Limites Estratégicos'!N7</f>
        <v>1</v>
      </c>
      <c r="H9" s="168"/>
      <c r="I9" s="168"/>
      <c r="K9" s="121"/>
      <c r="L9" s="121"/>
      <c r="M9" s="121"/>
      <c r="N9" s="121"/>
    </row>
    <row r="10" spans="1:25" ht="39" customHeight="1" x14ac:dyDescent="0.25">
      <c r="A10" s="404"/>
      <c r="B10" s="407" t="s">
        <v>59</v>
      </c>
      <c r="C10" s="407"/>
      <c r="D10" s="205">
        <f>'Anexo 1. Fontes e Aplicações'!C8</f>
        <v>6099238.2365753837</v>
      </c>
      <c r="E10" s="204">
        <f>'Anexo 1. Fontes e Aplicações'!D8</f>
        <v>6277291.0099999998</v>
      </c>
      <c r="F10" s="109">
        <f t="shared" si="0"/>
        <v>2.919262480302609E-2</v>
      </c>
      <c r="G10" s="168" t="b">
        <f>D10='[2]Anexo 2. Limites Estratégicos'!N8</f>
        <v>1</v>
      </c>
      <c r="H10" s="168"/>
      <c r="I10" s="168"/>
    </row>
    <row r="11" spans="1:25" ht="36" customHeight="1" x14ac:dyDescent="0.25">
      <c r="A11" s="408"/>
      <c r="B11" s="408"/>
      <c r="C11" s="95"/>
      <c r="D11" s="202" t="b">
        <f>D10='Anexo 1. Fontes e Aplicações'!C8</f>
        <v>1</v>
      </c>
      <c r="E11" s="202" t="b">
        <f>E10='Anexo 1. Fontes e Aplicações'!D8</f>
        <v>1</v>
      </c>
      <c r="F11" s="96"/>
      <c r="G11" s="173"/>
      <c r="H11" s="173"/>
      <c r="I11" s="173"/>
    </row>
    <row r="12" spans="1:25" ht="39" customHeight="1" x14ac:dyDescent="0.25">
      <c r="A12" s="405" t="s">
        <v>50</v>
      </c>
      <c r="B12" s="405"/>
      <c r="C12" s="405"/>
      <c r="D12" s="126" t="str">
        <f>D18</f>
        <v>Reprogramação
 2023</v>
      </c>
      <c r="E12" s="126" t="str">
        <f>E18</f>
        <v>Programação
 2024</v>
      </c>
      <c r="F12" s="126" t="s">
        <v>67</v>
      </c>
      <c r="G12" s="173"/>
      <c r="H12" s="173"/>
      <c r="I12" s="173"/>
    </row>
    <row r="13" spans="1:25" ht="35.25" customHeight="1" x14ac:dyDescent="0.25">
      <c r="A13" s="403" t="s">
        <v>376</v>
      </c>
      <c r="B13" s="403"/>
      <c r="C13" s="107" t="s">
        <v>48</v>
      </c>
      <c r="D13" s="205">
        <f>(D8-D9)</f>
        <v>2100193.6500000004</v>
      </c>
      <c r="E13" s="204">
        <f>(E8-E9)</f>
        <v>2158705.67</v>
      </c>
      <c r="F13" s="109">
        <f>IFERROR(E13/D13-100/100,0)</f>
        <v>2.7860297549228141E-2</v>
      </c>
      <c r="G13" s="168" t="b">
        <f>D13='[3]Anexo 2. Limites Estratégicos'!N13</f>
        <v>1</v>
      </c>
      <c r="H13" s="168"/>
      <c r="I13" s="169"/>
    </row>
    <row r="14" spans="1:25" ht="35.25" customHeight="1" x14ac:dyDescent="0.25">
      <c r="A14" s="403"/>
      <c r="B14" s="403"/>
      <c r="C14" s="141" t="s">
        <v>49</v>
      </c>
      <c r="D14" s="110">
        <f>IFERROR(D13/D10,)</f>
        <v>0.3443370415350791</v>
      </c>
      <c r="E14" s="110">
        <f>IFERROR(E13/E10,)</f>
        <v>0.34389128472156016</v>
      </c>
      <c r="F14" s="108">
        <f>(E14-D14)*100</f>
        <v>-4.4575681351893826E-2</v>
      </c>
      <c r="G14" s="168" t="b">
        <f>D14='[3]Anexo 2. Limites Estratégicos'!N14</f>
        <v>1</v>
      </c>
      <c r="H14" s="253"/>
      <c r="I14" s="168"/>
    </row>
    <row r="15" spans="1:25" ht="35.25" customHeight="1" x14ac:dyDescent="0.25">
      <c r="A15" s="403" t="s">
        <v>406</v>
      </c>
      <c r="B15" s="403"/>
      <c r="C15" s="107" t="s">
        <v>48</v>
      </c>
      <c r="D15" s="219">
        <v>80000</v>
      </c>
      <c r="E15" s="198">
        <f>'Matriz de Obj. Estrat.'!J16</f>
        <v>60000</v>
      </c>
      <c r="F15" s="109">
        <f>IFERROR(E15/D15-100/100,0)</f>
        <v>-0.25</v>
      </c>
      <c r="G15" s="168" t="b">
        <f>D15='[3]Anexo 2. Limites Estratégicos'!N15</f>
        <v>1</v>
      </c>
      <c r="H15" s="168"/>
      <c r="I15" s="169"/>
    </row>
    <row r="16" spans="1:25" ht="35.25" customHeight="1" x14ac:dyDescent="0.25">
      <c r="A16" s="403"/>
      <c r="B16" s="403"/>
      <c r="C16" s="142" t="s">
        <v>49</v>
      </c>
      <c r="D16" s="110">
        <f>IFERROR(D15/D8,)</f>
        <v>3.2726550764687154E-2</v>
      </c>
      <c r="E16" s="110">
        <f>IFERROR(E15/E8,)</f>
        <v>2.3185097787671013E-2</v>
      </c>
      <c r="F16" s="108">
        <f>(E16-D16)*100</f>
        <v>-0.95414529770161405</v>
      </c>
      <c r="G16" s="168" t="b">
        <f>D16='[3]Anexo 2. Limites Estratégicos'!N16</f>
        <v>1</v>
      </c>
      <c r="H16" s="168"/>
      <c r="I16" s="168"/>
    </row>
    <row r="17" spans="1:9" ht="39" customHeight="1" x14ac:dyDescent="0.25">
      <c r="G17" s="168"/>
      <c r="H17" s="168"/>
      <c r="I17" s="169"/>
    </row>
    <row r="18" spans="1:9" ht="39" customHeight="1" x14ac:dyDescent="0.25">
      <c r="A18" s="404" t="s">
        <v>44</v>
      </c>
      <c r="B18" s="405" t="s">
        <v>45</v>
      </c>
      <c r="C18" s="405"/>
      <c r="D18" s="126" t="s">
        <v>394</v>
      </c>
      <c r="E18" s="126" t="s">
        <v>395</v>
      </c>
      <c r="F18" s="126" t="s">
        <v>3</v>
      </c>
      <c r="G18" s="168"/>
      <c r="H18" s="168"/>
      <c r="I18" s="168"/>
    </row>
    <row r="19" spans="1:9" ht="36.75" customHeight="1" x14ac:dyDescent="0.25">
      <c r="A19" s="404"/>
      <c r="B19" s="406" t="s">
        <v>154</v>
      </c>
      <c r="C19" s="406"/>
      <c r="D19" s="205">
        <f>'Anexo 1. Fontes e Aplicações'!C9</f>
        <v>5082488.16</v>
      </c>
      <c r="E19" s="198">
        <f>'Anexo 1. Fontes e Aplicações'!D9</f>
        <v>5461135.4299999997</v>
      </c>
      <c r="F19" s="109">
        <f>IFERROR(E19/D19-100/100,0)</f>
        <v>7.4500374241894818E-2</v>
      </c>
      <c r="G19" s="168" t="b">
        <f>D19='[2]Anexo 2. Limites Estratégicos'!E6</f>
        <v>1</v>
      </c>
      <c r="H19" s="168"/>
      <c r="I19" s="169"/>
    </row>
    <row r="20" spans="1:9" ht="36.75" customHeight="1" x14ac:dyDescent="0.25">
      <c r="A20" s="404"/>
      <c r="B20" s="406" t="s">
        <v>47</v>
      </c>
      <c r="C20" s="406"/>
      <c r="D20" s="205">
        <f>'Anexo 1. Fontes e Aplicações'!C21</f>
        <v>0</v>
      </c>
      <c r="E20" s="198">
        <f>'Anexo 1. Fontes e Aplicações'!D21</f>
        <v>0</v>
      </c>
      <c r="F20" s="110">
        <f t="shared" ref="F20:F21" si="1">IFERROR(E20/D20-1,0)</f>
        <v>0</v>
      </c>
      <c r="G20" s="168" t="b">
        <f>D20='[2]Anexo 2. Limites Estratégicos'!E7</f>
        <v>1</v>
      </c>
      <c r="H20" s="168"/>
      <c r="I20" s="168"/>
    </row>
    <row r="21" spans="1:9" ht="36.75" customHeight="1" x14ac:dyDescent="0.25">
      <c r="A21" s="404"/>
      <c r="B21" s="410" t="s">
        <v>58</v>
      </c>
      <c r="C21" s="410"/>
      <c r="D21" s="182">
        <f>SUM(D19:D20)</f>
        <v>5082488.16</v>
      </c>
      <c r="E21" s="182">
        <f>SUM(E19:E20)</f>
        <v>5461135.4299999997</v>
      </c>
      <c r="F21" s="177">
        <f t="shared" si="1"/>
        <v>7.4500374241894818E-2</v>
      </c>
      <c r="G21" s="168" t="b">
        <f>D21='[2]Anexo 2. Limites Estratégicos'!E8</f>
        <v>1</v>
      </c>
      <c r="H21" s="168"/>
      <c r="I21" s="169"/>
    </row>
    <row r="22" spans="1:9" ht="36.75" customHeight="1" x14ac:dyDescent="0.25">
      <c r="A22" s="404"/>
      <c r="B22" s="406" t="s">
        <v>60</v>
      </c>
      <c r="C22" s="406"/>
      <c r="D22" s="205">
        <f>'Anexo 1. Fontes e Aplicações'!C31</f>
        <v>63933.476996403595</v>
      </c>
      <c r="E22" s="198">
        <f>'Anexo 1. Fontes e Aplicações'!D31</f>
        <v>101574.18</v>
      </c>
      <c r="F22" s="109">
        <f>IFERROR(E22/D22-100/100,0)</f>
        <v>0.58874794195400604</v>
      </c>
      <c r="G22" s="168" t="b">
        <f>D22='[2]Anexo 2. Limites Estratégicos'!E9</f>
        <v>1</v>
      </c>
      <c r="H22" s="168"/>
      <c r="I22" s="168"/>
    </row>
    <row r="23" spans="1:9" ht="36.75" customHeight="1" x14ac:dyDescent="0.25">
      <c r="A23" s="404"/>
      <c r="B23" s="350" t="s">
        <v>71</v>
      </c>
      <c r="C23" s="350"/>
      <c r="D23" s="182">
        <f>D21-D22</f>
        <v>5018554.683003597</v>
      </c>
      <c r="E23" s="182">
        <f>E21-E22</f>
        <v>5359561.25</v>
      </c>
      <c r="F23" s="177">
        <f>IFERROR(E23/D23-100/100,0)</f>
        <v>6.7949158380458563E-2</v>
      </c>
      <c r="G23" s="168" t="b">
        <f>D23='[2]Anexo 2. Limites Estratégicos'!E10</f>
        <v>1</v>
      </c>
      <c r="H23" s="168"/>
      <c r="I23" s="169"/>
    </row>
    <row r="24" spans="1:9" ht="39" customHeight="1" x14ac:dyDescent="0.25">
      <c r="A24" s="98"/>
      <c r="B24" s="99"/>
      <c r="C24" s="99"/>
      <c r="D24" s="100"/>
      <c r="E24" s="100"/>
      <c r="F24" s="97"/>
      <c r="G24" s="168"/>
      <c r="H24" s="168"/>
      <c r="I24" s="168"/>
    </row>
    <row r="25" spans="1:9" ht="39" customHeight="1" x14ac:dyDescent="0.25">
      <c r="A25" s="404" t="s">
        <v>66</v>
      </c>
      <c r="B25" s="405" t="s">
        <v>50</v>
      </c>
      <c r="C25" s="405"/>
      <c r="D25" s="126" t="str">
        <f>D18</f>
        <v>Reprogramação
 2023</v>
      </c>
      <c r="E25" s="126" t="str">
        <f>E18</f>
        <v>Programação
 2024</v>
      </c>
      <c r="F25" s="126" t="s">
        <v>3</v>
      </c>
      <c r="I25" s="169"/>
    </row>
    <row r="26" spans="1:9" ht="36.75" customHeight="1" x14ac:dyDescent="0.25">
      <c r="A26" s="404"/>
      <c r="B26" s="409" t="s">
        <v>415</v>
      </c>
      <c r="C26" s="107" t="s">
        <v>48</v>
      </c>
      <c r="D26" s="185">
        <v>790636.95</v>
      </c>
      <c r="E26" s="220">
        <f>'Matriz de Obj. Estrat.'!J5</f>
        <v>901361.85</v>
      </c>
      <c r="F26" s="109">
        <f>IFERROR(E26/D26-100/100,0)</f>
        <v>0.14004518761740137</v>
      </c>
      <c r="G26" s="171" t="b">
        <f>D26='[2]Anexo 2. Limites Estratégicos'!E13</f>
        <v>1</v>
      </c>
      <c r="I26" s="168"/>
    </row>
    <row r="27" spans="1:9" ht="36.75" customHeight="1" x14ac:dyDescent="0.25">
      <c r="A27" s="404"/>
      <c r="B27" s="409"/>
      <c r="C27" s="141" t="s">
        <v>49</v>
      </c>
      <c r="D27" s="109">
        <f>IFERROR(D26/$D$23,0)</f>
        <v>0.15754275881015309</v>
      </c>
      <c r="E27" s="109">
        <f>IFERROR(E26/$E$23,0)</f>
        <v>0.16817829071362883</v>
      </c>
      <c r="F27" s="108">
        <f>(E27-D27)*100</f>
        <v>1.0635531903475743</v>
      </c>
      <c r="G27" s="171" t="b">
        <f>D27='[2]Anexo 2. Limites Estratégicos'!E14</f>
        <v>1</v>
      </c>
      <c r="I27" s="431"/>
    </row>
    <row r="28" spans="1:9" ht="36.75" customHeight="1" x14ac:dyDescent="0.25">
      <c r="A28" s="404"/>
      <c r="B28" s="409" t="s">
        <v>414</v>
      </c>
      <c r="C28" s="107" t="s">
        <v>48</v>
      </c>
      <c r="D28" s="185">
        <v>268400</v>
      </c>
      <c r="E28" s="186">
        <v>270000</v>
      </c>
      <c r="F28" s="109">
        <f>IFERROR(E28/D28-100/100,0)</f>
        <v>5.9612518628913147E-3</v>
      </c>
      <c r="G28" s="171" t="b">
        <f>D28='[2]Anexo 2. Limites Estratégicos'!E23</f>
        <v>1</v>
      </c>
    </row>
    <row r="29" spans="1:9" ht="36.75" customHeight="1" x14ac:dyDescent="0.25">
      <c r="A29" s="404"/>
      <c r="B29" s="409"/>
      <c r="C29" s="141" t="s">
        <v>49</v>
      </c>
      <c r="D29" s="109">
        <f>IFERROR(D28/$D$23,0)</f>
        <v>5.3481533420168502E-2</v>
      </c>
      <c r="E29" s="109">
        <f>IFERROR(E28/$E$23,0)</f>
        <v>5.0377258026484913E-2</v>
      </c>
      <c r="F29" s="108">
        <f>(E29-D29)*100</f>
        <v>-0.31042753936835893</v>
      </c>
      <c r="G29" s="171" t="b">
        <f>D29='[2]Anexo 2. Limites Estratégicos'!E24</f>
        <v>1</v>
      </c>
    </row>
    <row r="30" spans="1:9" ht="36.75" customHeight="1" x14ac:dyDescent="0.25">
      <c r="A30" s="404"/>
      <c r="B30" s="402" t="s">
        <v>413</v>
      </c>
      <c r="C30" s="107" t="s">
        <v>48</v>
      </c>
      <c r="D30" s="185">
        <v>707040.50957897876</v>
      </c>
      <c r="E30" s="220">
        <f>'Matriz de Obj. Estrat.'!J6</f>
        <v>587763.89</v>
      </c>
      <c r="F30" s="109">
        <f>IFERROR(E30/D30-100/100,0)</f>
        <v>-0.16869842387107969</v>
      </c>
      <c r="G30" s="171" t="b">
        <f>D30='[3]Anexo 2. Limites Estratégicos'!$E$15</f>
        <v>1</v>
      </c>
    </row>
    <row r="31" spans="1:9" ht="36.75" customHeight="1" x14ac:dyDescent="0.25">
      <c r="A31" s="404"/>
      <c r="B31" s="402"/>
      <c r="C31" s="141" t="s">
        <v>49</v>
      </c>
      <c r="D31" s="109">
        <f>IFERROR(D30/$D$23,0)</f>
        <v>0.14088528555313382</v>
      </c>
      <c r="E31" s="109">
        <f>IFERROR(E30/$E$23,0)</f>
        <v>0.10966641905622405</v>
      </c>
      <c r="F31" s="108">
        <f>(E31-D31)*100</f>
        <v>-3.1218866496909761</v>
      </c>
      <c r="G31" s="171" t="b">
        <f>D31='[3]Anexo 2. Limites Estratégicos'!$E$15</f>
        <v>0</v>
      </c>
      <c r="H31" s="174"/>
    </row>
    <row r="32" spans="1:9" ht="36.75" customHeight="1" x14ac:dyDescent="0.25">
      <c r="A32" s="404"/>
      <c r="B32" s="402" t="s">
        <v>412</v>
      </c>
      <c r="C32" s="107" t="s">
        <v>48</v>
      </c>
      <c r="D32" s="185">
        <v>817885.45</v>
      </c>
      <c r="E32" s="220">
        <f>'Matriz de Obj. Estrat.'!J11</f>
        <v>943480.72</v>
      </c>
      <c r="F32" s="109">
        <f>IFERROR(E32/D32-100/100,0)</f>
        <v>0.15356095404313641</v>
      </c>
      <c r="G32" s="169" t="b">
        <f>D32='[2]Anexo 2. Limites Estratégicos'!E17</f>
        <v>1</v>
      </c>
      <c r="H32" s="169"/>
    </row>
    <row r="33" spans="1:9" ht="36.75" customHeight="1" x14ac:dyDescent="0.25">
      <c r="A33" s="404"/>
      <c r="B33" s="402"/>
      <c r="C33" s="141" t="s">
        <v>49</v>
      </c>
      <c r="D33" s="109">
        <f>IFERROR(D32/$D$23,0)</f>
        <v>0.16297231008958477</v>
      </c>
      <c r="E33" s="109">
        <f>IFERROR(E32/$E$23,0)</f>
        <v>0.17603693212760652</v>
      </c>
      <c r="F33" s="108">
        <f>(E33-D33)*100</f>
        <v>1.3064622038021749</v>
      </c>
      <c r="G33" s="169" t="b">
        <f>D33='[2]Anexo 2. Limites Estratégicos'!E18</f>
        <v>1</v>
      </c>
      <c r="H33" s="169"/>
    </row>
    <row r="34" spans="1:9" ht="36.75" customHeight="1" x14ac:dyDescent="0.25">
      <c r="A34" s="404"/>
      <c r="B34" s="402" t="s">
        <v>411</v>
      </c>
      <c r="C34" s="107" t="s">
        <v>48</v>
      </c>
      <c r="D34" s="185">
        <v>100000</v>
      </c>
      <c r="E34" s="186">
        <f>'Quadro Geral'!I22</f>
        <v>100000</v>
      </c>
      <c r="F34" s="109">
        <f>IFERROR(E34/D34-100/100,0)</f>
        <v>0</v>
      </c>
      <c r="G34" s="173" t="b">
        <f>D34='[2]Anexo 2. Limites Estratégicos'!E19</f>
        <v>1</v>
      </c>
      <c r="H34" s="173"/>
    </row>
    <row r="35" spans="1:9" ht="36.75" customHeight="1" x14ac:dyDescent="0.25">
      <c r="A35" s="404"/>
      <c r="B35" s="402"/>
      <c r="C35" s="141" t="s">
        <v>49</v>
      </c>
      <c r="D35" s="109">
        <f>IFERROR(D34/$D$23,0)</f>
        <v>1.9926055670703612E-2</v>
      </c>
      <c r="E35" s="109">
        <f>IFERROR(E34/$E$23,0)</f>
        <v>1.8658243713512931E-2</v>
      </c>
      <c r="F35" s="108">
        <f>(E35-D35)*100</f>
        <v>-0.12678119571906815</v>
      </c>
      <c r="G35" s="173" t="b">
        <f>D35='[2]Anexo 2. Limites Estratégicos'!E20</f>
        <v>1</v>
      </c>
      <c r="H35" s="175"/>
    </row>
    <row r="36" spans="1:9" ht="36.75" customHeight="1" x14ac:dyDescent="0.25">
      <c r="A36" s="404"/>
      <c r="B36" s="402" t="s">
        <v>409</v>
      </c>
      <c r="C36" s="107" t="s">
        <v>48</v>
      </c>
      <c r="D36" s="185">
        <v>0</v>
      </c>
      <c r="E36" s="220">
        <v>0</v>
      </c>
      <c r="F36" s="109">
        <f>IFERROR(E36/D36-100/100,0)</f>
        <v>0</v>
      </c>
      <c r="G36" s="175"/>
      <c r="H36" s="175"/>
      <c r="I36" s="203"/>
    </row>
    <row r="37" spans="1:9" ht="36.75" customHeight="1" x14ac:dyDescent="0.25">
      <c r="A37" s="404"/>
      <c r="B37" s="402"/>
      <c r="C37" s="141" t="s">
        <v>49</v>
      </c>
      <c r="D37" s="109">
        <f>IFERROR(D36/$D$23,0)</f>
        <v>0</v>
      </c>
      <c r="E37" s="109">
        <f>IFERROR(E36/$E$23,0)</f>
        <v>0</v>
      </c>
      <c r="F37" s="108">
        <f>(E37-D37)*100</f>
        <v>0</v>
      </c>
      <c r="G37" s="175"/>
      <c r="H37" s="175"/>
    </row>
    <row r="38" spans="1:9" ht="36.75" customHeight="1" x14ac:dyDescent="0.25">
      <c r="A38" s="404"/>
      <c r="B38" s="402" t="s">
        <v>410</v>
      </c>
      <c r="C38" s="107" t="s">
        <v>48</v>
      </c>
      <c r="D38" s="185">
        <v>1157332.4695789786</v>
      </c>
      <c r="E38" s="220">
        <f>'Matriz de Obj. Estrat.'!K21</f>
        <v>356700</v>
      </c>
      <c r="F38" s="109">
        <f>IFERROR(E38/D38-100/100,0)</f>
        <v>-0.69179124462846664</v>
      </c>
      <c r="G38" s="175" t="b">
        <f>D38='[3]Anexo 2. Limites Estratégicos'!$E$21</f>
        <v>1</v>
      </c>
      <c r="H38" s="175"/>
    </row>
    <row r="39" spans="1:9" ht="36.75" customHeight="1" x14ac:dyDescent="0.25">
      <c r="A39" s="404"/>
      <c r="B39" s="402"/>
      <c r="C39" s="141" t="s">
        <v>49</v>
      </c>
      <c r="D39" s="109">
        <f>IFERROR(D38/$D$23,0)</f>
        <v>0.23061071218343623</v>
      </c>
      <c r="E39" s="109">
        <f>IFERROR(E38/$E$23,0)</f>
        <v>6.6553955326100617E-2</v>
      </c>
      <c r="F39" s="108">
        <f>(E39-D39)*100</f>
        <v>-16.405675685733563</v>
      </c>
      <c r="G39" s="175" t="b">
        <f>D39='[3]Anexo 2. Limites Estratégicos'!$E$21</f>
        <v>0</v>
      </c>
      <c r="H39" s="175"/>
    </row>
    <row r="40" spans="1:9" ht="36.75" customHeight="1" x14ac:dyDescent="0.25">
      <c r="A40" s="404"/>
      <c r="B40" s="402" t="s">
        <v>428</v>
      </c>
      <c r="C40" s="107" t="s">
        <v>48</v>
      </c>
      <c r="D40" s="219">
        <f>'Anexo 1. Fontes e Aplicações'!C33</f>
        <v>41000</v>
      </c>
      <c r="E40" s="219">
        <f>'Anexo 1. Fontes e Aplicações'!D33</f>
        <v>41000</v>
      </c>
      <c r="F40" s="109">
        <f>IFERROR(E40/D40-100/100,0)</f>
        <v>0</v>
      </c>
      <c r="G40" s="169" t="b">
        <f>D40='[2]Anexo 2. Limites Estratégicos'!E25</f>
        <v>1</v>
      </c>
      <c r="H40" s="169"/>
    </row>
    <row r="41" spans="1:9" ht="36.75" customHeight="1" x14ac:dyDescent="0.25">
      <c r="A41" s="404"/>
      <c r="B41" s="402"/>
      <c r="C41" s="141" t="s">
        <v>49</v>
      </c>
      <c r="D41" s="109">
        <f>IFERROR(D40/$D$23,0)</f>
        <v>8.1696828249884813E-3</v>
      </c>
      <c r="E41" s="109">
        <f>IFERROR(E40/$E$23,0)</f>
        <v>7.6498799225403011E-3</v>
      </c>
      <c r="F41" s="108">
        <f>(E41-D41)*100</f>
        <v>-5.1980290244818018E-2</v>
      </c>
      <c r="G41" s="169">
        <f>D41-'[2]Anexo 2. Limites Estratégicos'!E26</f>
        <v>0</v>
      </c>
      <c r="H41" s="170"/>
      <c r="I41" s="176"/>
    </row>
    <row r="42" spans="1:9" x14ac:dyDescent="0.25"/>
    <row r="43" spans="1:9" x14ac:dyDescent="0.25">
      <c r="A43" s="372" t="s">
        <v>408</v>
      </c>
      <c r="B43" s="373"/>
      <c r="C43" s="373"/>
      <c r="D43" s="373"/>
      <c r="E43" s="373"/>
      <c r="F43" s="374"/>
    </row>
    <row r="44" spans="1:9" ht="99.75" customHeight="1" x14ac:dyDescent="0.25">
      <c r="A44" s="393" t="s">
        <v>542</v>
      </c>
      <c r="B44" s="394"/>
      <c r="C44" s="394"/>
      <c r="D44" s="394"/>
      <c r="E44" s="394"/>
      <c r="F44" s="395"/>
      <c r="G44" s="171">
        <f>55533.15+228125.04+145505.32</f>
        <v>429163.51</v>
      </c>
    </row>
    <row r="65" s="53" customFormat="1" hidden="1" x14ac:dyDescent="0.25"/>
    <row r="66" s="53" customFormat="1" hidden="1" x14ac:dyDescent="0.25"/>
  </sheetData>
  <sheetProtection selectLockedCells="1"/>
  <mergeCells count="33">
    <mergeCell ref="B22:C22"/>
    <mergeCell ref="A11:B11"/>
    <mergeCell ref="A12:C12"/>
    <mergeCell ref="A43:F43"/>
    <mergeCell ref="B23:C23"/>
    <mergeCell ref="A15:B16"/>
    <mergeCell ref="B40:B41"/>
    <mergeCell ref="B38:B39"/>
    <mergeCell ref="B32:B33"/>
    <mergeCell ref="B25:C25"/>
    <mergeCell ref="B26:B27"/>
    <mergeCell ref="B30:B31"/>
    <mergeCell ref="B28:B29"/>
    <mergeCell ref="B21:C21"/>
    <mergeCell ref="A44:F44"/>
    <mergeCell ref="D5:F5"/>
    <mergeCell ref="A5:C5"/>
    <mergeCell ref="B34:B35"/>
    <mergeCell ref="A13:B14"/>
    <mergeCell ref="B36:B37"/>
    <mergeCell ref="A25:A41"/>
    <mergeCell ref="A18:A23"/>
    <mergeCell ref="B18:C18"/>
    <mergeCell ref="A7:A10"/>
    <mergeCell ref="B7:C7"/>
    <mergeCell ref="B19:C19"/>
    <mergeCell ref="B8:C8"/>
    <mergeCell ref="B20:C20"/>
    <mergeCell ref="B9:C9"/>
    <mergeCell ref="B10:C10"/>
    <mergeCell ref="A3:F3"/>
    <mergeCell ref="A2:F2"/>
    <mergeCell ref="A1:F1"/>
  </mergeCells>
  <phoneticPr fontId="18" type="noConversion"/>
  <conditionalFormatting sqref="D11:E11">
    <cfRule type="cellIs" dxfId="12" priority="19" operator="equal">
      <formula>TRUE</formula>
    </cfRule>
  </conditionalFormatting>
  <conditionalFormatting sqref="E27">
    <cfRule type="cellIs" dxfId="11" priority="9" operator="lessThan">
      <formula>0.25</formula>
    </cfRule>
  </conditionalFormatting>
  <conditionalFormatting sqref="E29">
    <cfRule type="cellIs" dxfId="10" priority="8" operator="lessThan">
      <formula>0.03</formula>
    </cfRule>
  </conditionalFormatting>
  <conditionalFormatting sqref="E31">
    <cfRule type="cellIs" dxfId="9" priority="7" operator="lessThan">
      <formula>0.1</formula>
    </cfRule>
  </conditionalFormatting>
  <conditionalFormatting sqref="E33">
    <cfRule type="cellIs" dxfId="8" priority="6" operator="lessThan">
      <formula>0.03</formula>
    </cfRule>
  </conditionalFormatting>
  <conditionalFormatting sqref="E35">
    <cfRule type="cellIs" dxfId="7" priority="5" operator="greaterThan">
      <formula>0.05</formula>
    </cfRule>
  </conditionalFormatting>
  <conditionalFormatting sqref="E39">
    <cfRule type="cellIs" dxfId="6" priority="3" operator="lessThan">
      <formula>0.06</formula>
    </cfRule>
  </conditionalFormatting>
  <conditionalFormatting sqref="E41">
    <cfRule type="cellIs" dxfId="5" priority="2" operator="greaterThan">
      <formula>0.02</formula>
    </cfRule>
  </conditionalFormatting>
  <conditionalFormatting sqref="H31">
    <cfRule type="cellIs" dxfId="4" priority="18" operator="equal">
      <formula>TRUE</formula>
    </cfRule>
  </conditionalFormatting>
  <conditionalFormatting sqref="E37">
    <cfRule type="cellIs" dxfId="3" priority="1" operator="lessThan">
      <formula>0.03</formula>
    </cfRule>
  </conditionalFormatting>
  <printOptions horizontalCentered="1" verticalCentered="1"/>
  <pageMargins left="0" right="0" top="0" bottom="0" header="0" footer="0"/>
  <pageSetup paperSize="9" scale="52" orientation="portrait" r:id="rId1"/>
  <colBreaks count="1" manualBreakCount="1">
    <brk id="6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8">
    <tabColor rgb="FFFF6900"/>
  </sheetPr>
  <dimension ref="A1:AH86"/>
  <sheetViews>
    <sheetView showGridLines="0" tabSelected="1" zoomScale="70" zoomScaleNormal="70" workbookViewId="0">
      <pane ySplit="6" topLeftCell="A7" activePane="bottomLeft" state="frozen"/>
      <selection pane="bottomLeft" activeCell="L19" sqref="L19"/>
    </sheetView>
  </sheetViews>
  <sheetFormatPr defaultColWidth="16.42578125" defaultRowHeight="26.25" zeroHeight="1" x14ac:dyDescent="0.25"/>
  <cols>
    <col min="1" max="2" width="16.5703125" style="85" customWidth="1"/>
    <col min="3" max="3" width="50.28515625" style="85" customWidth="1"/>
    <col min="4" max="4" width="24.42578125" style="85" bestFit="1" customWidth="1"/>
    <col min="5" max="5" width="5.85546875" style="85" customWidth="1"/>
    <col min="6" max="6" width="23.42578125" style="85" bestFit="1" customWidth="1"/>
    <col min="7" max="8" width="15.28515625" style="85" customWidth="1"/>
    <col min="9" max="9" width="20.5703125" style="85" bestFit="1" customWidth="1"/>
    <col min="10" max="10" width="21.28515625" style="85" bestFit="1" customWidth="1"/>
    <col min="11" max="11" width="28" style="85" bestFit="1" customWidth="1"/>
    <col min="12" max="12" width="16.7109375" style="85" customWidth="1"/>
    <col min="13" max="14" width="15.28515625" style="85" customWidth="1"/>
    <col min="15" max="15" width="16.7109375" style="85" bestFit="1" customWidth="1"/>
    <col min="16" max="16" width="17.85546875" style="85" bestFit="1" customWidth="1"/>
    <col min="17" max="17" width="18" style="85" bestFit="1" customWidth="1"/>
    <col min="18" max="18" width="11.85546875" style="85" customWidth="1"/>
    <col min="19" max="19" width="17.5703125" style="85" hidden="1" customWidth="1"/>
    <col min="20" max="20" width="26.7109375" style="221" hidden="1" customWidth="1"/>
    <col min="21" max="25" width="16.42578125" style="221" hidden="1" customWidth="1"/>
    <col min="26" max="40" width="16.42578125" style="221" customWidth="1"/>
    <col min="41" max="16381" width="16.42578125" style="221"/>
    <col min="16382" max="16384" width="10" style="221" customWidth="1"/>
  </cols>
  <sheetData>
    <row r="1" spans="1:34" s="201" customFormat="1" x14ac:dyDescent="0.25">
      <c r="A1" s="130" t="s">
        <v>217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99"/>
      <c r="T1" s="200"/>
    </row>
    <row r="2" spans="1:34" x14ac:dyDescent="0.25">
      <c r="A2" s="309" t="str">
        <f>'Indicadores e Metas'!A2:F2</f>
        <v>CAU/UF:  CAU/BA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</row>
    <row r="3" spans="1:34" x14ac:dyDescent="0.25">
      <c r="A3" s="358" t="s">
        <v>397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60"/>
    </row>
    <row r="4" spans="1:34" ht="26.25" customHeight="1" x14ac:dyDescent="0.25">
      <c r="AA4" s="390" t="s">
        <v>550</v>
      </c>
      <c r="AB4" s="390"/>
      <c r="AC4" s="390"/>
      <c r="AD4" s="390"/>
      <c r="AE4" s="391" t="s">
        <v>554</v>
      </c>
      <c r="AF4" s="391"/>
      <c r="AG4" s="391"/>
      <c r="AH4" s="391"/>
    </row>
    <row r="5" spans="1:34" s="103" customFormat="1" ht="25.5" customHeight="1" x14ac:dyDescent="0.25">
      <c r="A5" s="312" t="s">
        <v>4</v>
      </c>
      <c r="B5" s="422" t="str">
        <f>'Quadro Geral'!B6</f>
        <v>P/A/ PE</v>
      </c>
      <c r="C5" s="420" t="s">
        <v>34</v>
      </c>
      <c r="D5" s="420" t="s">
        <v>396</v>
      </c>
      <c r="E5" s="222"/>
      <c r="F5" s="421" t="s">
        <v>1</v>
      </c>
      <c r="G5" s="421"/>
      <c r="H5" s="418" t="s">
        <v>35</v>
      </c>
      <c r="I5" s="414" t="s">
        <v>36</v>
      </c>
      <c r="J5" s="415"/>
      <c r="K5" s="415"/>
      <c r="L5" s="416" t="s">
        <v>135</v>
      </c>
      <c r="M5" s="416" t="s">
        <v>155</v>
      </c>
      <c r="N5" s="416" t="s">
        <v>37</v>
      </c>
      <c r="O5" s="416" t="s">
        <v>38</v>
      </c>
      <c r="P5" s="420" t="s">
        <v>2</v>
      </c>
      <c r="Q5" s="421" t="s">
        <v>0</v>
      </c>
      <c r="R5" s="421" t="s">
        <v>39</v>
      </c>
      <c r="S5" s="411"/>
      <c r="AA5" s="390"/>
      <c r="AB5" s="390"/>
      <c r="AC5" s="390"/>
      <c r="AD5" s="390"/>
      <c r="AE5" s="391"/>
      <c r="AF5" s="391"/>
      <c r="AG5" s="391"/>
      <c r="AH5" s="391"/>
    </row>
    <row r="6" spans="1:34" s="103" customFormat="1" ht="42" customHeight="1" x14ac:dyDescent="0.25">
      <c r="A6" s="312"/>
      <c r="B6" s="423"/>
      <c r="C6" s="420"/>
      <c r="D6" s="420"/>
      <c r="E6" s="222"/>
      <c r="F6" s="131" t="s">
        <v>61</v>
      </c>
      <c r="G6" s="131" t="s">
        <v>40</v>
      </c>
      <c r="H6" s="419"/>
      <c r="I6" s="131" t="s">
        <v>40</v>
      </c>
      <c r="J6" s="131" t="s">
        <v>41</v>
      </c>
      <c r="K6" s="131" t="s">
        <v>42</v>
      </c>
      <c r="L6" s="416"/>
      <c r="M6" s="416"/>
      <c r="N6" s="416"/>
      <c r="O6" s="416"/>
      <c r="P6" s="420"/>
      <c r="Q6" s="421"/>
      <c r="R6" s="421"/>
      <c r="S6" s="411"/>
      <c r="T6" s="121" t="s">
        <v>368</v>
      </c>
      <c r="U6" s="120"/>
      <c r="V6" s="120"/>
      <c r="W6" s="120"/>
      <c r="X6" s="120"/>
      <c r="Y6" s="120"/>
      <c r="Z6" s="120"/>
      <c r="AA6" s="390"/>
      <c r="AB6" s="390"/>
      <c r="AC6" s="390"/>
      <c r="AD6" s="390"/>
      <c r="AE6" s="391"/>
      <c r="AF6" s="391"/>
      <c r="AG6" s="391"/>
      <c r="AH6" s="391"/>
    </row>
    <row r="7" spans="1:34" ht="31.5" x14ac:dyDescent="0.25">
      <c r="A7" s="105" t="str">
        <f>'Quadro Geral'!A8</f>
        <v>Presidência</v>
      </c>
      <c r="B7" s="105" t="str">
        <f>'Quadro Geral'!B8</f>
        <v>A</v>
      </c>
      <c r="C7" s="106" t="str">
        <f>'Quadro Geral'!C8</f>
        <v>Articulação Institucional e fomento de parcerias estratégicas.</v>
      </c>
      <c r="D7" s="178">
        <f>'Quadro Geral'!I8</f>
        <v>325805.32</v>
      </c>
      <c r="E7" s="223"/>
      <c r="F7" s="179">
        <v>102805.32</v>
      </c>
      <c r="G7" s="179">
        <v>3000</v>
      </c>
      <c r="H7" s="179"/>
      <c r="I7" s="179">
        <v>35000</v>
      </c>
      <c r="J7" s="179">
        <v>60000</v>
      </c>
      <c r="K7" s="179">
        <v>125000</v>
      </c>
      <c r="L7" s="179"/>
      <c r="M7" s="179"/>
      <c r="N7" s="179"/>
      <c r="O7" s="180">
        <f>SUM(F7:N7)</f>
        <v>325805.32</v>
      </c>
      <c r="P7" s="179"/>
      <c r="Q7" s="180">
        <f>O7+P7</f>
        <v>325805.32</v>
      </c>
      <c r="R7" s="184">
        <f t="shared" ref="R7:R38" si="0">IFERROR(Q7/$Q$39,0)</f>
        <v>2.7805515773393769E-2</v>
      </c>
      <c r="S7" s="224" t="b">
        <f>D7=Q7</f>
        <v>1</v>
      </c>
      <c r="T7" s="85" t="str">
        <f>'Quadro Geral'!E8</f>
        <v>Assegurar a eficácia no relacionamento e comunicação com a sociedade</v>
      </c>
    </row>
    <row r="8" spans="1:34" x14ac:dyDescent="0.25">
      <c r="A8" s="105" t="str">
        <f>'Quadro Geral'!A9</f>
        <v>Direção Geral</v>
      </c>
      <c r="B8" s="105" t="str">
        <f>'Quadro Geral'!B9</f>
        <v>A</v>
      </c>
      <c r="C8" s="106" t="str">
        <f>'Quadro Geral'!C9</f>
        <v>Manutenção Institucional</v>
      </c>
      <c r="D8" s="178">
        <f>'Quadro Geral'!I9</f>
        <v>732417.61</v>
      </c>
      <c r="E8" s="223"/>
      <c r="F8" s="179">
        <v>323417.61</v>
      </c>
      <c r="G8" s="179">
        <v>10000</v>
      </c>
      <c r="H8" s="179"/>
      <c r="I8" s="179"/>
      <c r="J8" s="179">
        <v>14000</v>
      </c>
      <c r="K8" s="179">
        <v>385000</v>
      </c>
      <c r="L8" s="179"/>
      <c r="M8" s="179"/>
      <c r="N8" s="179"/>
      <c r="O8" s="180">
        <f t="shared" ref="O8:O38" si="1">SUM(F8:N8)</f>
        <v>732417.61</v>
      </c>
      <c r="P8" s="179"/>
      <c r="Q8" s="180">
        <f t="shared" ref="Q8:Q38" si="2">O8+P8</f>
        <v>732417.61</v>
      </c>
      <c r="R8" s="184">
        <f t="shared" si="0"/>
        <v>6.2507418256909877E-2</v>
      </c>
      <c r="S8" s="224" t="b">
        <f t="shared" ref="S8:S39" si="3">D8=Q8</f>
        <v>1</v>
      </c>
      <c r="T8" s="85" t="str">
        <f>'Quadro Geral'!E9</f>
        <v>Construir cultura organizacional adequada à estratégia</v>
      </c>
    </row>
    <row r="9" spans="1:34" ht="31.5" x14ac:dyDescent="0.25">
      <c r="A9" s="105" t="str">
        <f>'Quadro Geral'!A10</f>
        <v>Gerência Técnica</v>
      </c>
      <c r="B9" s="105" t="str">
        <f>'Quadro Geral'!B10</f>
        <v>A</v>
      </c>
      <c r="C9" s="106" t="str">
        <f>'Quadro Geral'!C10</f>
        <v>Orientação, esclarecimento e atendimento de demandas de profissionais e empresas</v>
      </c>
      <c r="D9" s="178">
        <f>'Quadro Geral'!I10</f>
        <v>385251.54</v>
      </c>
      <c r="E9" s="223"/>
      <c r="F9" s="179">
        <v>316691.53999999998</v>
      </c>
      <c r="G9" s="179">
        <v>5000</v>
      </c>
      <c r="H9" s="179"/>
      <c r="I9" s="179"/>
      <c r="J9" s="179">
        <v>5000</v>
      </c>
      <c r="K9" s="179">
        <v>58560</v>
      </c>
      <c r="L9" s="179"/>
      <c r="M9" s="179"/>
      <c r="N9" s="179"/>
      <c r="O9" s="180">
        <f t="shared" si="1"/>
        <v>385251.54</v>
      </c>
      <c r="P9" s="179"/>
      <c r="Q9" s="180">
        <f t="shared" si="2"/>
        <v>385251.54</v>
      </c>
      <c r="R9" s="184">
        <f t="shared" si="0"/>
        <v>3.287889151777583E-2</v>
      </c>
      <c r="S9" s="224" t="b">
        <f t="shared" si="3"/>
        <v>1</v>
      </c>
      <c r="T9" s="85" t="str">
        <f>'Quadro Geral'!E10</f>
        <v>Assegurar a eficácia no atendimento e no relacionamento com os Arquitetos e Urbanistas e a Sociedade</v>
      </c>
    </row>
    <row r="10" spans="1:34" ht="31.5" x14ac:dyDescent="0.25">
      <c r="A10" s="105" t="str">
        <f>'Quadro Geral'!A11</f>
        <v>Gerência de Operações</v>
      </c>
      <c r="B10" s="105" t="str">
        <f>'Quadro Geral'!B11</f>
        <v>A</v>
      </c>
      <c r="C10" s="106" t="str">
        <f>'Quadro Geral'!C11</f>
        <v>Operacionalização dos processos éticos e de multa/fiscalização</v>
      </c>
      <c r="D10" s="178">
        <f>'Quadro Geral'!I11</f>
        <v>223039.1</v>
      </c>
      <c r="E10" s="223"/>
      <c r="F10" s="179">
        <v>162479.1</v>
      </c>
      <c r="G10" s="179">
        <v>21000</v>
      </c>
      <c r="H10" s="179"/>
      <c r="I10" s="179"/>
      <c r="J10" s="179">
        <v>29000</v>
      </c>
      <c r="K10" s="179">
        <v>10560</v>
      </c>
      <c r="L10" s="179"/>
      <c r="M10" s="179"/>
      <c r="N10" s="179"/>
      <c r="O10" s="180">
        <f t="shared" si="1"/>
        <v>223039.1</v>
      </c>
      <c r="P10" s="179"/>
      <c r="Q10" s="180">
        <f t="shared" si="2"/>
        <v>223039.1</v>
      </c>
      <c r="R10" s="184">
        <f t="shared" si="0"/>
        <v>1.9035039738250898E-2</v>
      </c>
      <c r="S10" s="224" t="b">
        <f t="shared" si="3"/>
        <v>1</v>
      </c>
      <c r="T10" s="85" t="str">
        <f>'Quadro Geral'!E11</f>
        <v>Promover o exercício ético e qualificado da profissão</v>
      </c>
    </row>
    <row r="11" spans="1:34" ht="31.5" x14ac:dyDescent="0.25">
      <c r="A11" s="105" t="str">
        <f>'Quadro Geral'!A12</f>
        <v>Gerência Financeira</v>
      </c>
      <c r="B11" s="105" t="str">
        <f>'Quadro Geral'!B12</f>
        <v>A</v>
      </c>
      <c r="C11" s="106" t="str">
        <f>'Quadro Geral'!C12</f>
        <v>Manutenção Financeira</v>
      </c>
      <c r="D11" s="178">
        <f>'Quadro Geral'!I12</f>
        <v>548413.03</v>
      </c>
      <c r="E11" s="223"/>
      <c r="F11" s="179">
        <v>426413.03</v>
      </c>
      <c r="G11" s="179">
        <v>5000</v>
      </c>
      <c r="H11" s="179"/>
      <c r="I11" s="179"/>
      <c r="J11" s="179">
        <v>14000</v>
      </c>
      <c r="K11" s="179">
        <v>103000</v>
      </c>
      <c r="L11" s="179"/>
      <c r="M11" s="179"/>
      <c r="N11" s="179"/>
      <c r="O11" s="180">
        <f t="shared" si="1"/>
        <v>548413.03</v>
      </c>
      <c r="P11" s="179"/>
      <c r="Q11" s="180">
        <f t="shared" si="2"/>
        <v>548413.03</v>
      </c>
      <c r="R11" s="184">
        <f t="shared" si="0"/>
        <v>4.6803738981302301E-2</v>
      </c>
      <c r="S11" s="224" t="b">
        <f t="shared" si="3"/>
        <v>1</v>
      </c>
      <c r="T11" s="85" t="str">
        <f>'Quadro Geral'!E12</f>
        <v>Assegurar a sustentabilidade financeira</v>
      </c>
    </row>
    <row r="12" spans="1:34" ht="31.5" x14ac:dyDescent="0.25">
      <c r="A12" s="105" t="str">
        <f>'Quadro Geral'!A13</f>
        <v>Assessoria Jurídica</v>
      </c>
      <c r="B12" s="105" t="str">
        <f>'Quadro Geral'!B13</f>
        <v>A</v>
      </c>
      <c r="C12" s="106" t="str">
        <f>'Quadro Geral'!C13</f>
        <v>Consultoria e Assessoria Jurídica</v>
      </c>
      <c r="D12" s="178">
        <f>'Quadro Geral'!I13</f>
        <v>360087.03999999998</v>
      </c>
      <c r="E12" s="223"/>
      <c r="F12" s="179">
        <v>294427.03999999998</v>
      </c>
      <c r="G12" s="179">
        <v>14000</v>
      </c>
      <c r="H12" s="179"/>
      <c r="I12" s="179"/>
      <c r="J12" s="179">
        <v>17500</v>
      </c>
      <c r="K12" s="179">
        <v>34160</v>
      </c>
      <c r="L12" s="179"/>
      <c r="M12" s="179"/>
      <c r="N12" s="179"/>
      <c r="O12" s="180">
        <f t="shared" si="1"/>
        <v>360087.03999999998</v>
      </c>
      <c r="P12" s="179"/>
      <c r="Q12" s="180">
        <f t="shared" si="2"/>
        <v>360087.03999999998</v>
      </c>
      <c r="R12" s="184">
        <f t="shared" si="0"/>
        <v>3.0731253469141243E-2</v>
      </c>
      <c r="S12" s="224" t="b">
        <f t="shared" si="3"/>
        <v>1</v>
      </c>
      <c r="T12" s="85" t="str">
        <f>'Quadro Geral'!E13</f>
        <v>Aprimorar e inovar os processos e as ações</v>
      </c>
    </row>
    <row r="13" spans="1:34" ht="31.5" x14ac:dyDescent="0.25">
      <c r="A13" s="105" t="str">
        <f>'Quadro Geral'!A14</f>
        <v>Comissão de Ética</v>
      </c>
      <c r="B13" s="105" t="str">
        <f>'Quadro Geral'!B14</f>
        <v>A</v>
      </c>
      <c r="C13" s="106" t="str">
        <f>'Quadro Geral'!C14</f>
        <v>Operacionalização e processamento dos  processos éticos</v>
      </c>
      <c r="D13" s="178">
        <f>'Quadro Geral'!I14</f>
        <v>201390.2</v>
      </c>
      <c r="E13" s="223"/>
      <c r="F13" s="179">
        <v>92390.2</v>
      </c>
      <c r="G13" s="179"/>
      <c r="H13" s="179"/>
      <c r="I13" s="179">
        <v>56000</v>
      </c>
      <c r="J13" s="179">
        <v>53000</v>
      </c>
      <c r="K13" s="179"/>
      <c r="L13" s="179"/>
      <c r="M13" s="179"/>
      <c r="N13" s="179"/>
      <c r="O13" s="180">
        <f t="shared" si="1"/>
        <v>201390.2</v>
      </c>
      <c r="P13" s="179"/>
      <c r="Q13" s="180">
        <f t="shared" si="2"/>
        <v>201390.2</v>
      </c>
      <c r="R13" s="184">
        <f t="shared" si="0"/>
        <v>1.7187436910812034E-2</v>
      </c>
      <c r="S13" s="224" t="b">
        <f t="shared" si="3"/>
        <v>1</v>
      </c>
      <c r="T13" s="85" t="str">
        <f>'Quadro Geral'!E14</f>
        <v>Promover o exercício ético e qualificado da profissão</v>
      </c>
    </row>
    <row r="14" spans="1:34" ht="47.25" x14ac:dyDescent="0.25">
      <c r="A14" s="105" t="str">
        <f>'Quadro Geral'!A15</f>
        <v>Comissão de Atos Administrativos</v>
      </c>
      <c r="B14" s="105" t="str">
        <f>'Quadro Geral'!B15</f>
        <v>A</v>
      </c>
      <c r="C14" s="106" t="str">
        <f>'Quadro Geral'!C15</f>
        <v>Assessoramento organizacional-institucional</v>
      </c>
      <c r="D14" s="178">
        <f>'Quadro Geral'!I15</f>
        <v>18000</v>
      </c>
      <c r="E14" s="223"/>
      <c r="F14" s="179"/>
      <c r="G14" s="179"/>
      <c r="H14" s="179"/>
      <c r="I14" s="179">
        <v>7500</v>
      </c>
      <c r="J14" s="179">
        <v>10500</v>
      </c>
      <c r="K14" s="179"/>
      <c r="L14" s="179"/>
      <c r="M14" s="179"/>
      <c r="N14" s="179"/>
      <c r="O14" s="180">
        <f t="shared" si="1"/>
        <v>18000</v>
      </c>
      <c r="P14" s="179"/>
      <c r="Q14" s="180">
        <f t="shared" si="2"/>
        <v>18000</v>
      </c>
      <c r="R14" s="184">
        <f t="shared" si="0"/>
        <v>1.5361912565488123E-3</v>
      </c>
      <c r="S14" s="224" t="b">
        <f t="shared" si="3"/>
        <v>1</v>
      </c>
      <c r="T14" s="85" t="str">
        <f>'Quadro Geral'!E15</f>
        <v>Aprimorar e inovar os processos e as ações</v>
      </c>
    </row>
    <row r="15" spans="1:34" ht="63" x14ac:dyDescent="0.25">
      <c r="A15" s="105" t="str">
        <f>'Quadro Geral'!A16</f>
        <v>Comissão de Exercício Profissional e Fiscalização</v>
      </c>
      <c r="B15" s="105" t="str">
        <f>'Quadro Geral'!B16</f>
        <v>A</v>
      </c>
      <c r="C15" s="106" t="str">
        <f>'Quadro Geral'!C16</f>
        <v>Operacionalização da Fiscalização e fomento da valorização profissional</v>
      </c>
      <c r="D15" s="178">
        <f>'Quadro Geral'!I16</f>
        <v>24000</v>
      </c>
      <c r="E15" s="223"/>
      <c r="F15" s="179"/>
      <c r="G15" s="179"/>
      <c r="H15" s="179"/>
      <c r="I15" s="179">
        <v>10000</v>
      </c>
      <c r="J15" s="179">
        <v>14000</v>
      </c>
      <c r="K15" s="179"/>
      <c r="L15" s="179"/>
      <c r="M15" s="179"/>
      <c r="N15" s="179"/>
      <c r="O15" s="180">
        <f t="shared" si="1"/>
        <v>24000</v>
      </c>
      <c r="P15" s="179"/>
      <c r="Q15" s="180">
        <f t="shared" si="2"/>
        <v>24000</v>
      </c>
      <c r="R15" s="184">
        <f t="shared" si="0"/>
        <v>2.0482550087317494E-3</v>
      </c>
      <c r="S15" s="224" t="b">
        <f t="shared" si="3"/>
        <v>1</v>
      </c>
      <c r="T15" s="85" t="str">
        <f>'Quadro Geral'!E16</f>
        <v>Tornar a fiscalização um vetor de melhoria do exercício da Arquitetura e Urbanismo</v>
      </c>
    </row>
    <row r="16" spans="1:34" ht="47.25" x14ac:dyDescent="0.25">
      <c r="A16" s="105" t="str">
        <f>'Quadro Geral'!A17</f>
        <v>Comissão de Planejamento e Finanças</v>
      </c>
      <c r="B16" s="105" t="str">
        <f>'Quadro Geral'!B17</f>
        <v>A</v>
      </c>
      <c r="C16" s="106" t="str">
        <f>'Quadro Geral'!C17</f>
        <v>Operacionalização, Planejamento e Controle do CAU</v>
      </c>
      <c r="D16" s="178">
        <f>'Quadro Geral'!I17</f>
        <v>18000</v>
      </c>
      <c r="E16" s="223"/>
      <c r="F16" s="179"/>
      <c r="G16" s="179"/>
      <c r="H16" s="179"/>
      <c r="I16" s="179">
        <v>7500</v>
      </c>
      <c r="J16" s="179">
        <v>10500</v>
      </c>
      <c r="K16" s="179"/>
      <c r="L16" s="179"/>
      <c r="M16" s="179"/>
      <c r="N16" s="179"/>
      <c r="O16" s="180">
        <f t="shared" si="1"/>
        <v>18000</v>
      </c>
      <c r="P16" s="179"/>
      <c r="Q16" s="180">
        <f t="shared" si="2"/>
        <v>18000</v>
      </c>
      <c r="R16" s="184">
        <f t="shared" si="0"/>
        <v>1.5361912565488123E-3</v>
      </c>
      <c r="S16" s="224" t="b">
        <f t="shared" si="3"/>
        <v>1</v>
      </c>
      <c r="T16" s="85" t="str">
        <f>'Quadro Geral'!E17</f>
        <v>Assegurar a sustentabilidade financeira</v>
      </c>
    </row>
    <row r="17" spans="1:20" ht="31.5" x14ac:dyDescent="0.25">
      <c r="A17" s="105" t="str">
        <f>'Quadro Geral'!A18</f>
        <v>Comissão de Ensino</v>
      </c>
      <c r="B17" s="105" t="str">
        <f>'Quadro Geral'!B18</f>
        <v>A</v>
      </c>
      <c r="C17" s="106" t="str">
        <f>'Quadro Geral'!C18</f>
        <v>Fomento ao aperfeiçoamento e à formação profissional</v>
      </c>
      <c r="D17" s="178">
        <f>'Quadro Geral'!I18</f>
        <v>86700</v>
      </c>
      <c r="E17" s="223"/>
      <c r="F17" s="179"/>
      <c r="G17" s="179"/>
      <c r="H17" s="179"/>
      <c r="I17" s="179">
        <v>12200</v>
      </c>
      <c r="J17" s="179">
        <v>17500</v>
      </c>
      <c r="K17" s="179">
        <v>57000</v>
      </c>
      <c r="L17" s="179"/>
      <c r="M17" s="179"/>
      <c r="N17" s="179"/>
      <c r="O17" s="180">
        <f t="shared" si="1"/>
        <v>86700</v>
      </c>
      <c r="P17" s="179"/>
      <c r="Q17" s="180">
        <f t="shared" si="2"/>
        <v>86700</v>
      </c>
      <c r="R17" s="184">
        <f t="shared" si="0"/>
        <v>7.3993212190434452E-3</v>
      </c>
      <c r="S17" s="224" t="b">
        <f t="shared" si="3"/>
        <v>1</v>
      </c>
      <c r="T17" s="85" t="str">
        <f>'Quadro Geral'!E18</f>
        <v>Influenciar as diretrizes do ensino de Arquitetura e Urbanismo e sua formação continuada</v>
      </c>
    </row>
    <row r="18" spans="1:20" ht="78.75" x14ac:dyDescent="0.25">
      <c r="A18" s="105" t="str">
        <f>'Quadro Geral'!A19</f>
        <v>Comissão Especial de Política Profissional e Política Urbana</v>
      </c>
      <c r="B18" s="105" t="str">
        <f>'Quadro Geral'!B19</f>
        <v>A</v>
      </c>
      <c r="C18" s="106" t="str">
        <f>'Quadro Geral'!C19</f>
        <v>Fomento a ações que buscam promover melhorias da prática profissional e política urbana</v>
      </c>
      <c r="D18" s="178">
        <f>'Quadro Geral'!I19</f>
        <v>35000</v>
      </c>
      <c r="E18" s="223"/>
      <c r="F18" s="179"/>
      <c r="G18" s="179"/>
      <c r="H18" s="179"/>
      <c r="I18" s="179">
        <v>5000</v>
      </c>
      <c r="J18" s="179">
        <v>5000</v>
      </c>
      <c r="K18" s="179">
        <v>25000</v>
      </c>
      <c r="L18" s="179"/>
      <c r="M18" s="179"/>
      <c r="N18" s="179"/>
      <c r="O18" s="180">
        <f t="shared" si="1"/>
        <v>35000</v>
      </c>
      <c r="P18" s="179"/>
      <c r="Q18" s="180">
        <f t="shared" si="2"/>
        <v>35000</v>
      </c>
      <c r="R18" s="184">
        <f t="shared" si="0"/>
        <v>2.9870385544004683E-3</v>
      </c>
      <c r="S18" s="224" t="b">
        <f t="shared" si="3"/>
        <v>1</v>
      </c>
      <c r="T18" s="85" t="str">
        <f>'Quadro Geral'!E19</f>
        <v>Aprimorar e inovar os processos e as ações</v>
      </c>
    </row>
    <row r="19" spans="1:20" ht="31.5" x14ac:dyDescent="0.25">
      <c r="A19" s="105" t="str">
        <f>'Quadro Geral'!A20</f>
        <v>Plenária</v>
      </c>
      <c r="B19" s="105" t="str">
        <f>'Quadro Geral'!B20</f>
        <v>A</v>
      </c>
      <c r="C19" s="106" t="str">
        <f>'Quadro Geral'!C20</f>
        <v>Operacionalização das reuniões institucionais regimentais</v>
      </c>
      <c r="D19" s="178">
        <f>'Quadro Geral'!I20</f>
        <v>130000</v>
      </c>
      <c r="E19" s="223"/>
      <c r="F19" s="179"/>
      <c r="G19" s="179"/>
      <c r="H19" s="179"/>
      <c r="I19" s="179">
        <v>50000</v>
      </c>
      <c r="J19" s="179">
        <v>80000</v>
      </c>
      <c r="K19" s="179"/>
      <c r="L19" s="179"/>
      <c r="M19" s="179"/>
      <c r="N19" s="179"/>
      <c r="O19" s="180">
        <f t="shared" si="1"/>
        <v>130000</v>
      </c>
      <c r="P19" s="179"/>
      <c r="Q19" s="180">
        <f t="shared" si="2"/>
        <v>130000</v>
      </c>
      <c r="R19" s="184">
        <f t="shared" si="0"/>
        <v>1.109471463063031E-2</v>
      </c>
      <c r="S19" s="224" t="b">
        <f t="shared" si="3"/>
        <v>1</v>
      </c>
      <c r="T19" s="85" t="str">
        <f>'Quadro Geral'!E20</f>
        <v>Estimular a produção da Arquitetura e Urbanismo como política de Estado</v>
      </c>
    </row>
    <row r="20" spans="1:20" x14ac:dyDescent="0.25">
      <c r="A20" s="105" t="str">
        <f>'Quadro Geral'!A21</f>
        <v>Plenária</v>
      </c>
      <c r="B20" s="105" t="str">
        <f>'Quadro Geral'!B21</f>
        <v>P</v>
      </c>
      <c r="C20" s="106" t="str">
        <f>'Quadro Geral'!C21</f>
        <v>Semana do Arquiteto</v>
      </c>
      <c r="D20" s="178">
        <f>'Quadro Geral'!I21</f>
        <v>100000</v>
      </c>
      <c r="E20" s="223"/>
      <c r="F20" s="179"/>
      <c r="G20" s="179"/>
      <c r="H20" s="179"/>
      <c r="I20" s="179"/>
      <c r="J20" s="179"/>
      <c r="K20" s="254">
        <v>100000</v>
      </c>
      <c r="L20" s="254"/>
      <c r="M20" s="179"/>
      <c r="N20" s="179"/>
      <c r="O20" s="180">
        <f t="shared" si="1"/>
        <v>100000</v>
      </c>
      <c r="P20" s="179"/>
      <c r="Q20" s="180">
        <f t="shared" si="2"/>
        <v>100000</v>
      </c>
      <c r="R20" s="184">
        <f t="shared" si="0"/>
        <v>8.5343958697156226E-3</v>
      </c>
      <c r="S20" s="224" t="b">
        <f t="shared" si="3"/>
        <v>1</v>
      </c>
      <c r="T20" s="85" t="str">
        <f>'Quadro Geral'!E21</f>
        <v>Assegurar a eficácia no relacionamento e comunicação com a sociedade</v>
      </c>
    </row>
    <row r="21" spans="1:20" x14ac:dyDescent="0.25">
      <c r="A21" s="105" t="str">
        <f>'Quadro Geral'!A22</f>
        <v>Plenária</v>
      </c>
      <c r="B21" s="105" t="str">
        <f>'Quadro Geral'!B22</f>
        <v>P</v>
      </c>
      <c r="C21" s="106" t="str">
        <f>'Quadro Geral'!C22</f>
        <v>Patrocínio</v>
      </c>
      <c r="D21" s="178">
        <f>'Quadro Geral'!I22</f>
        <v>100000</v>
      </c>
      <c r="E21" s="223"/>
      <c r="F21" s="179"/>
      <c r="G21" s="179"/>
      <c r="H21" s="179"/>
      <c r="I21" s="179"/>
      <c r="J21" s="179"/>
      <c r="K21" s="179"/>
      <c r="L21" s="254">
        <v>100000</v>
      </c>
      <c r="M21" s="179"/>
      <c r="N21" s="179"/>
      <c r="O21" s="180">
        <f t="shared" si="1"/>
        <v>100000</v>
      </c>
      <c r="P21" s="179"/>
      <c r="Q21" s="180">
        <f>O21+P21</f>
        <v>100000</v>
      </c>
      <c r="R21" s="184">
        <f t="shared" si="0"/>
        <v>8.5343958697156226E-3</v>
      </c>
      <c r="S21" s="224" t="b">
        <f t="shared" si="3"/>
        <v>1</v>
      </c>
      <c r="T21" s="85" t="str">
        <f>'Quadro Geral'!E22</f>
        <v>Estimular o conhecimento, o uso de processos criativos e a difusão das melhores práticas em Arquitetura e Urbanismo</v>
      </c>
    </row>
    <row r="22" spans="1:20" ht="31.5" x14ac:dyDescent="0.25">
      <c r="A22" s="105" t="str">
        <f>'Quadro Geral'!A23</f>
        <v>Gerência  Financeira</v>
      </c>
      <c r="B22" s="105" t="str">
        <f>'Quadro Geral'!B23</f>
        <v>A</v>
      </c>
      <c r="C22" s="106" t="str">
        <f>'Quadro Geral'!C23</f>
        <v>Aporte ao Fundo de Apoio</v>
      </c>
      <c r="D22" s="178">
        <f>'Quadro Geral'!I23</f>
        <v>101574.18</v>
      </c>
      <c r="E22" s="223"/>
      <c r="F22" s="179"/>
      <c r="G22" s="179"/>
      <c r="H22" s="179"/>
      <c r="I22" s="179"/>
      <c r="J22" s="179"/>
      <c r="K22" s="254"/>
      <c r="L22" s="254">
        <v>101574.18</v>
      </c>
      <c r="M22" s="179"/>
      <c r="N22" s="179"/>
      <c r="O22" s="180">
        <f t="shared" si="1"/>
        <v>101574.18</v>
      </c>
      <c r="P22" s="179"/>
      <c r="Q22" s="180">
        <f>O22+P22</f>
        <v>101574.18</v>
      </c>
      <c r="R22" s="184">
        <f t="shared" si="0"/>
        <v>8.6687426226175115E-3</v>
      </c>
      <c r="S22" s="224" t="b">
        <f t="shared" si="3"/>
        <v>1</v>
      </c>
      <c r="T22" s="85" t="str">
        <f>'Quadro Geral'!E23</f>
        <v>Assegurar a sustentabilidade financeira</v>
      </c>
    </row>
    <row r="23" spans="1:20" ht="31.5" x14ac:dyDescent="0.25">
      <c r="A23" s="105" t="str">
        <f>'Quadro Geral'!A24</f>
        <v>Assessoria de Comunicação</v>
      </c>
      <c r="B23" s="105" t="str">
        <f>'Quadro Geral'!B24</f>
        <v>A</v>
      </c>
      <c r="C23" s="106" t="str">
        <f>'Quadro Geral'!C24</f>
        <v>Comunicação Institucional</v>
      </c>
      <c r="D23" s="178">
        <f>'Quadro Geral'!I24</f>
        <v>517675.4</v>
      </c>
      <c r="E23" s="223"/>
      <c r="F23" s="179">
        <v>217327.95</v>
      </c>
      <c r="G23" s="179">
        <v>3500</v>
      </c>
      <c r="H23" s="179"/>
      <c r="I23" s="179"/>
      <c r="J23" s="179">
        <v>4000</v>
      </c>
      <c r="K23" s="179">
        <v>292847.45</v>
      </c>
      <c r="L23" s="179"/>
      <c r="M23" s="179"/>
      <c r="N23" s="179"/>
      <c r="O23" s="180">
        <f t="shared" si="1"/>
        <v>517675.4</v>
      </c>
      <c r="P23" s="179"/>
      <c r="Q23" s="180">
        <f>O23+P23</f>
        <v>517675.4</v>
      </c>
      <c r="R23" s="184">
        <f t="shared" si="0"/>
        <v>4.4180467956133833E-2</v>
      </c>
      <c r="S23" s="224" t="b">
        <f t="shared" si="3"/>
        <v>1</v>
      </c>
      <c r="T23" s="85" t="str">
        <f>'Quadro Geral'!E24</f>
        <v>Assegurar a eficácia no relacionamento e comunicação com a sociedade</v>
      </c>
    </row>
    <row r="24" spans="1:20" x14ac:dyDescent="0.25">
      <c r="A24" s="105" t="str">
        <f>'Quadro Geral'!A25</f>
        <v>Direção Geral</v>
      </c>
      <c r="B24" s="105" t="str">
        <f>'Quadro Geral'!B25</f>
        <v>A</v>
      </c>
      <c r="C24" s="106" t="str">
        <f>'Quadro Geral'!C25</f>
        <v>Programa de Capacitação dos Colaboradores</v>
      </c>
      <c r="D24" s="178">
        <f>'Quadro Geral'!I25</f>
        <v>60000</v>
      </c>
      <c r="E24" s="223"/>
      <c r="F24" s="179"/>
      <c r="G24" s="179"/>
      <c r="H24" s="179"/>
      <c r="I24" s="179"/>
      <c r="J24" s="179"/>
      <c r="K24" s="179">
        <v>60000</v>
      </c>
      <c r="L24" s="179"/>
      <c r="M24" s="179"/>
      <c r="N24" s="179"/>
      <c r="O24" s="180">
        <f t="shared" si="1"/>
        <v>60000</v>
      </c>
      <c r="P24" s="179"/>
      <c r="Q24" s="180">
        <f t="shared" si="2"/>
        <v>60000</v>
      </c>
      <c r="R24" s="184">
        <f t="shared" si="0"/>
        <v>5.1206375218293739E-3</v>
      </c>
      <c r="S24" s="224" t="b">
        <f t="shared" si="3"/>
        <v>1</v>
      </c>
      <c r="T24" s="85" t="str">
        <f>'Quadro Geral'!E25</f>
        <v>Desenvolver competências de dirigentes e colaboradores</v>
      </c>
    </row>
    <row r="25" spans="1:20" x14ac:dyDescent="0.25">
      <c r="A25" s="105" t="str">
        <f>'Quadro Geral'!A26</f>
        <v>Plenária</v>
      </c>
      <c r="B25" s="105" t="str">
        <f>'Quadro Geral'!B26</f>
        <v>P</v>
      </c>
      <c r="C25" s="106" t="str">
        <f>'Quadro Geral'!C26</f>
        <v>Programa de Assistência Técnica</v>
      </c>
      <c r="D25" s="178">
        <f>'Quadro Geral'!I26</f>
        <v>270000</v>
      </c>
      <c r="E25" s="223"/>
      <c r="F25" s="179"/>
      <c r="G25" s="179"/>
      <c r="H25" s="179"/>
      <c r="I25" s="179"/>
      <c r="J25" s="179"/>
      <c r="K25" s="179">
        <v>270000</v>
      </c>
      <c r="L25" s="179"/>
      <c r="M25" s="179"/>
      <c r="N25" s="179"/>
      <c r="O25" s="180">
        <f t="shared" si="1"/>
        <v>270000</v>
      </c>
      <c r="P25" s="179"/>
      <c r="Q25" s="180">
        <f t="shared" si="2"/>
        <v>270000</v>
      </c>
      <c r="R25" s="184">
        <f t="shared" si="0"/>
        <v>2.3042868848232183E-2</v>
      </c>
      <c r="S25" s="224" t="b">
        <f t="shared" si="3"/>
        <v>1</v>
      </c>
      <c r="T25" s="85" t="str">
        <f>'Quadro Geral'!E26</f>
        <v>Fomentar o acesso da sociedade à Arquitetura e Urbanismo</v>
      </c>
    </row>
    <row r="26" spans="1:20" ht="31.5" x14ac:dyDescent="0.25">
      <c r="A26" s="105" t="str">
        <f>'Quadro Geral'!A27</f>
        <v>Gerência de Atendimento</v>
      </c>
      <c r="B26" s="105" t="str">
        <f>'Quadro Geral'!B27</f>
        <v>A</v>
      </c>
      <c r="C26" s="106" t="str">
        <f>'Quadro Geral'!C27</f>
        <v>Atendimento da Sociedade e arquitetos e urbanistas</v>
      </c>
      <c r="D26" s="178">
        <f>'Quadro Geral'!I27</f>
        <v>116000</v>
      </c>
      <c r="E26" s="223"/>
      <c r="F26" s="179"/>
      <c r="G26" s="179"/>
      <c r="H26" s="179"/>
      <c r="I26" s="179"/>
      <c r="J26" s="179"/>
      <c r="K26" s="179">
        <v>116000</v>
      </c>
      <c r="L26" s="179"/>
      <c r="M26" s="179"/>
      <c r="N26" s="179"/>
      <c r="O26" s="180">
        <f t="shared" si="1"/>
        <v>116000</v>
      </c>
      <c r="P26" s="179"/>
      <c r="Q26" s="180">
        <f t="shared" si="2"/>
        <v>116000</v>
      </c>
      <c r="R26" s="184">
        <f t="shared" si="0"/>
        <v>9.8998992088701228E-3</v>
      </c>
      <c r="S26" s="224" t="b">
        <f t="shared" si="3"/>
        <v>1</v>
      </c>
      <c r="T26" s="85" t="str">
        <f>'Quadro Geral'!E27</f>
        <v>Assegurar a eficácia no atendimento e no relacionamento com os Arquitetos e Urbanistas e a Sociedade</v>
      </c>
    </row>
    <row r="27" spans="1:20" x14ac:dyDescent="0.25">
      <c r="A27" s="105" t="str">
        <f>'Quadro Geral'!A28</f>
        <v>Plenária</v>
      </c>
      <c r="B27" s="105" t="str">
        <f>'Quadro Geral'!B28</f>
        <v>P</v>
      </c>
      <c r="C27" s="106" t="str">
        <f>'Quadro Geral'!C28</f>
        <v>Reforma sede CAU/BA</v>
      </c>
      <c r="D27" s="178">
        <f>'Quadro Geral'!I28</f>
        <v>800000</v>
      </c>
      <c r="E27" s="223"/>
      <c r="F27" s="179"/>
      <c r="G27" s="179"/>
      <c r="H27" s="179"/>
      <c r="I27" s="179"/>
      <c r="J27" s="179"/>
      <c r="K27" s="179"/>
      <c r="L27" s="179"/>
      <c r="M27" s="179"/>
      <c r="N27" s="179"/>
      <c r="O27" s="180">
        <f t="shared" si="1"/>
        <v>0</v>
      </c>
      <c r="P27" s="179">
        <v>800000</v>
      </c>
      <c r="Q27" s="180">
        <f t="shared" si="2"/>
        <v>800000</v>
      </c>
      <c r="R27" s="184">
        <f t="shared" si="0"/>
        <v>6.8275166957724981E-2</v>
      </c>
      <c r="S27" s="224" t="b">
        <f t="shared" si="3"/>
        <v>1</v>
      </c>
      <c r="T27" s="85" t="str">
        <f>'Quadro Geral'!E28</f>
        <v>Ter sistemas de informação e infraestrutura que viabilizem a gestão e o atendimento dos arquitetos e urbanistas e a sociedade</v>
      </c>
    </row>
    <row r="28" spans="1:20" x14ac:dyDescent="0.25">
      <c r="A28" s="105" t="str">
        <f>'Quadro Geral'!A29</f>
        <v>Plenária</v>
      </c>
      <c r="B28" s="105" t="str">
        <f>'Quadro Geral'!B29</f>
        <v>P</v>
      </c>
      <c r="C28" s="106" t="str">
        <f>'Quadro Geral'!C29</f>
        <v>Aquisição de Equipamentos</v>
      </c>
      <c r="D28" s="178">
        <f>'Quadro Geral'!I29</f>
        <v>640000</v>
      </c>
      <c r="E28" s="223"/>
      <c r="F28" s="179"/>
      <c r="G28" s="179"/>
      <c r="H28" s="179"/>
      <c r="I28" s="179"/>
      <c r="J28" s="179"/>
      <c r="K28" s="179"/>
      <c r="L28" s="179"/>
      <c r="M28" s="179"/>
      <c r="N28" s="179"/>
      <c r="O28" s="180">
        <f t="shared" si="1"/>
        <v>0</v>
      </c>
      <c r="P28" s="179">
        <v>640000</v>
      </c>
      <c r="Q28" s="180">
        <f t="shared" si="2"/>
        <v>640000</v>
      </c>
      <c r="R28" s="184">
        <f t="shared" si="0"/>
        <v>5.4620133566179986E-2</v>
      </c>
      <c r="S28" s="224" t="b">
        <f t="shared" si="3"/>
        <v>1</v>
      </c>
      <c r="T28" s="85" t="str">
        <f>'Quadro Geral'!E29</f>
        <v>Ter sistemas de informação e infraestrutura que viabilizem a gestão e o atendimento dos arquitetos e urbanistas e a sociedade</v>
      </c>
    </row>
    <row r="29" spans="1:20" ht="31.5" x14ac:dyDescent="0.25">
      <c r="A29" s="105" t="str">
        <f>'Quadro Geral'!A30</f>
        <v>Gerência Financeira</v>
      </c>
      <c r="B29" s="105" t="str">
        <f>'Quadro Geral'!B30</f>
        <v>A</v>
      </c>
      <c r="C29" s="106" t="str">
        <f>'Quadro Geral'!C30</f>
        <v>CSC -Fiscalização</v>
      </c>
      <c r="D29" s="178">
        <f>'Quadro Geral'!I30</f>
        <v>433447.85</v>
      </c>
      <c r="E29" s="223"/>
      <c r="F29" s="179"/>
      <c r="G29" s="179"/>
      <c r="H29" s="179"/>
      <c r="I29" s="179"/>
      <c r="J29" s="179"/>
      <c r="K29" s="179"/>
      <c r="L29" s="254">
        <v>433447.85</v>
      </c>
      <c r="M29" s="254"/>
      <c r="N29" s="179"/>
      <c r="O29" s="180">
        <f t="shared" si="1"/>
        <v>433447.85</v>
      </c>
      <c r="P29" s="179"/>
      <c r="Q29" s="180">
        <f t="shared" si="2"/>
        <v>433447.85</v>
      </c>
      <c r="R29" s="184">
        <f t="shared" si="0"/>
        <v>3.699215540777117E-2</v>
      </c>
      <c r="S29" s="224" t="b">
        <f t="shared" si="3"/>
        <v>1</v>
      </c>
      <c r="T29" s="85" t="str">
        <f>'Quadro Geral'!E30</f>
        <v>Tornar a fiscalização um vetor de melhoria do exercício da Arquitetura e Urbanismo</v>
      </c>
    </row>
    <row r="30" spans="1:20" ht="31.5" x14ac:dyDescent="0.25">
      <c r="A30" s="105" t="str">
        <f>'Quadro Geral'!A31</f>
        <v>Gerência Financeira</v>
      </c>
      <c r="B30" s="105" t="str">
        <f>'Quadro Geral'!B31</f>
        <v>A</v>
      </c>
      <c r="C30" s="106" t="str">
        <f>'Quadro Geral'!C31</f>
        <v>CSC- Atendimento</v>
      </c>
      <c r="D30" s="178">
        <f>'Quadro Geral'!I31</f>
        <v>56512.35</v>
      </c>
      <c r="E30" s="223"/>
      <c r="F30" s="179"/>
      <c r="G30" s="179"/>
      <c r="H30" s="179"/>
      <c r="I30" s="179"/>
      <c r="J30" s="179"/>
      <c r="K30" s="179"/>
      <c r="L30" s="254">
        <v>56512.35</v>
      </c>
      <c r="M30" s="254"/>
      <c r="N30" s="179"/>
      <c r="O30" s="180">
        <f t="shared" si="1"/>
        <v>56512.35</v>
      </c>
      <c r="P30" s="179"/>
      <c r="Q30" s="180">
        <f t="shared" si="2"/>
        <v>56512.35</v>
      </c>
      <c r="R30" s="184">
        <f t="shared" si="0"/>
        <v>4.8229876642792366E-3</v>
      </c>
      <c r="S30" s="224" t="b">
        <f t="shared" si="3"/>
        <v>1</v>
      </c>
      <c r="T30" s="85" t="str">
        <f>'Quadro Geral'!E31</f>
        <v>Assegurar a eficácia no atendimento e no relacionamento com os Arquitetos e Urbanistas e a Sociedade</v>
      </c>
    </row>
    <row r="31" spans="1:20" ht="31.5" x14ac:dyDescent="0.25">
      <c r="A31" s="105" t="str">
        <f>'Quadro Geral'!A32</f>
        <v>Gerência de Fiscalização</v>
      </c>
      <c r="B31" s="105" t="str">
        <f>'Quadro Geral'!B32</f>
        <v>A</v>
      </c>
      <c r="C31" s="106" t="str">
        <f>'Quadro Geral'!C32</f>
        <v>Plano de Fiscalização</v>
      </c>
      <c r="D31" s="178">
        <f>'Quadro Geral'!I32</f>
        <v>443914</v>
      </c>
      <c r="E31" s="223"/>
      <c r="F31" s="179">
        <v>363914</v>
      </c>
      <c r="G31" s="179">
        <v>8200</v>
      </c>
      <c r="H31" s="179"/>
      <c r="I31" s="179"/>
      <c r="J31" s="179">
        <v>17800</v>
      </c>
      <c r="K31" s="179">
        <v>54000</v>
      </c>
      <c r="L31" s="254"/>
      <c r="M31" s="254"/>
      <c r="N31" s="179"/>
      <c r="O31" s="180">
        <f t="shared" si="1"/>
        <v>443914</v>
      </c>
      <c r="P31" s="179"/>
      <c r="Q31" s="180">
        <f t="shared" si="2"/>
        <v>443914</v>
      </c>
      <c r="R31" s="184">
        <f t="shared" si="0"/>
        <v>3.788537808108941E-2</v>
      </c>
      <c r="S31" s="224" t="b">
        <f t="shared" si="3"/>
        <v>1</v>
      </c>
      <c r="T31" s="85" t="str">
        <f>'Quadro Geral'!E32</f>
        <v>Tornar a fiscalização um vetor de melhoria do exercício da Arquitetura e Urbanismo</v>
      </c>
    </row>
    <row r="32" spans="1:20" x14ac:dyDescent="0.25">
      <c r="A32" s="105" t="str">
        <f>'Quadro Geral'!A33</f>
        <v>Plenária</v>
      </c>
      <c r="B32" s="105" t="str">
        <f>'Quadro Geral'!B33</f>
        <v>A</v>
      </c>
      <c r="C32" s="106" t="str">
        <f>'Quadro Geral'!C33</f>
        <v>Reserva de Contingência</v>
      </c>
      <c r="D32" s="178">
        <f>'Quadro Geral'!I33</f>
        <v>41000</v>
      </c>
      <c r="E32" s="223"/>
      <c r="F32" s="179"/>
      <c r="G32" s="179"/>
      <c r="H32" s="179"/>
      <c r="I32" s="179"/>
      <c r="J32" s="179"/>
      <c r="K32" s="179"/>
      <c r="L32" s="254"/>
      <c r="M32" s="254">
        <v>41000</v>
      </c>
      <c r="N32" s="179"/>
      <c r="O32" s="180">
        <f t="shared" si="1"/>
        <v>41000</v>
      </c>
      <c r="P32" s="179"/>
      <c r="Q32" s="180">
        <f t="shared" si="2"/>
        <v>41000</v>
      </c>
      <c r="R32" s="184">
        <f t="shared" si="0"/>
        <v>3.4991023065834054E-3</v>
      </c>
      <c r="S32" s="224" t="b">
        <f t="shared" si="3"/>
        <v>1</v>
      </c>
      <c r="T32" s="85" t="str">
        <f>'Quadro Geral'!E33</f>
        <v>Assegurar a sustentabilidade financeira</v>
      </c>
    </row>
    <row r="33" spans="1:20" x14ac:dyDescent="0.25">
      <c r="A33" s="105" t="str">
        <f>'Quadro Geral'!A34</f>
        <v>Presidência</v>
      </c>
      <c r="B33" s="105" t="str">
        <f>'Quadro Geral'!B34</f>
        <v>P</v>
      </c>
      <c r="C33" s="106" t="str">
        <f>'Quadro Geral'!C34</f>
        <v>Aquisição sede CAU/BA</v>
      </c>
      <c r="D33" s="178">
        <f>'Quadro Geral'!I34</f>
        <v>4000000</v>
      </c>
      <c r="E33" s="223"/>
      <c r="F33" s="179"/>
      <c r="G33" s="179"/>
      <c r="H33" s="179"/>
      <c r="I33" s="179"/>
      <c r="J33" s="179"/>
      <c r="K33" s="179"/>
      <c r="L33" s="179"/>
      <c r="M33" s="179"/>
      <c r="N33" s="179"/>
      <c r="O33" s="180">
        <f t="shared" si="1"/>
        <v>0</v>
      </c>
      <c r="P33" s="179">
        <v>4000000</v>
      </c>
      <c r="Q33" s="180">
        <f t="shared" si="2"/>
        <v>4000000</v>
      </c>
      <c r="R33" s="184">
        <f t="shared" si="0"/>
        <v>0.34137583478862493</v>
      </c>
      <c r="S33" s="224" t="b">
        <f t="shared" si="3"/>
        <v>1</v>
      </c>
      <c r="T33" s="85" t="str">
        <f>'Quadro Geral'!E34</f>
        <v>Ter sistemas de informação e infraestrutura que viabilizem a gestão e o atendimento dos arquitetos e urbanistas e a sociedade</v>
      </c>
    </row>
    <row r="34" spans="1:20" x14ac:dyDescent="0.25">
      <c r="A34" s="105" t="str">
        <f>'Quadro Geral'!A35</f>
        <v>Plenária</v>
      </c>
      <c r="B34" s="105" t="str">
        <f>'Quadro Geral'!B35</f>
        <v>P</v>
      </c>
      <c r="C34" s="106" t="str">
        <f>'Quadro Geral'!C35</f>
        <v>Concurso</v>
      </c>
      <c r="D34" s="178">
        <f>'Quadro Geral'!I35</f>
        <v>0</v>
      </c>
      <c r="E34" s="223"/>
      <c r="F34" s="179"/>
      <c r="G34" s="179"/>
      <c r="H34" s="179"/>
      <c r="I34" s="179"/>
      <c r="J34" s="179"/>
      <c r="K34" s="179"/>
      <c r="L34" s="179"/>
      <c r="M34" s="179"/>
      <c r="N34" s="179"/>
      <c r="O34" s="180">
        <f t="shared" si="1"/>
        <v>0</v>
      </c>
      <c r="P34" s="179"/>
      <c r="Q34" s="180">
        <f t="shared" si="2"/>
        <v>0</v>
      </c>
      <c r="R34" s="184">
        <f t="shared" si="0"/>
        <v>0</v>
      </c>
      <c r="S34" s="224" t="b">
        <f t="shared" si="3"/>
        <v>1</v>
      </c>
      <c r="T34" s="85" t="str">
        <f>'Quadro Geral'!E35</f>
        <v>Aprimorar e inovar os processos e as ações</v>
      </c>
    </row>
    <row r="35" spans="1:20" ht="31.5" x14ac:dyDescent="0.25">
      <c r="A35" s="105" t="str">
        <f>'Quadro Geral'!A36</f>
        <v>Gerência Administrativa</v>
      </c>
      <c r="B35" s="105" t="str">
        <f>'Quadro Geral'!B36</f>
        <v>A</v>
      </c>
      <c r="C35" s="106" t="str">
        <f>'Quadro Geral'!C36</f>
        <v>Manutenção Administrativa</v>
      </c>
      <c r="D35" s="178">
        <f>'Quadro Geral'!I36</f>
        <v>919063.39</v>
      </c>
      <c r="E35" s="223"/>
      <c r="F35" s="179">
        <v>288003.39</v>
      </c>
      <c r="G35" s="179">
        <v>5000</v>
      </c>
      <c r="H35" s="179"/>
      <c r="I35" s="179"/>
      <c r="J35" s="179">
        <v>7000</v>
      </c>
      <c r="K35" s="179">
        <v>619060</v>
      </c>
      <c r="L35" s="179"/>
      <c r="M35" s="179"/>
      <c r="N35" s="179"/>
      <c r="O35" s="180">
        <f t="shared" si="1"/>
        <v>919063.39</v>
      </c>
      <c r="P35" s="179"/>
      <c r="Q35" s="180">
        <f t="shared" si="2"/>
        <v>919063.39</v>
      </c>
      <c r="R35" s="184">
        <f t="shared" si="0"/>
        <v>7.8436507996228394E-2</v>
      </c>
      <c r="S35" s="224" t="b">
        <f t="shared" si="3"/>
        <v>1</v>
      </c>
      <c r="T35" s="85" t="str">
        <f>'Quadro Geral'!E36</f>
        <v>Aprimorar e inovar os processos e as ações</v>
      </c>
    </row>
    <row r="36" spans="1:20" x14ac:dyDescent="0.25">
      <c r="A36" s="105" t="str">
        <f>'Quadro Geral'!A37</f>
        <v>Plenário</v>
      </c>
      <c r="B36" s="105" t="str">
        <f>'Quadro Geral'!B37</f>
        <v>P</v>
      </c>
      <c r="C36" s="106" t="str">
        <f>'Quadro Geral'!C37</f>
        <v>Projeto Intercomissões</v>
      </c>
      <c r="D36" s="178">
        <f>'Quadro Geral'!I37</f>
        <v>30000</v>
      </c>
      <c r="E36" s="223"/>
      <c r="F36" s="179"/>
      <c r="G36" s="179"/>
      <c r="H36" s="179"/>
      <c r="I36" s="179"/>
      <c r="J36" s="179"/>
      <c r="K36" s="254">
        <v>30000</v>
      </c>
      <c r="L36" s="179"/>
      <c r="M36" s="179"/>
      <c r="N36" s="179"/>
      <c r="O36" s="180">
        <f t="shared" si="1"/>
        <v>30000</v>
      </c>
      <c r="P36" s="179"/>
      <c r="Q36" s="180">
        <f t="shared" si="2"/>
        <v>30000</v>
      </c>
      <c r="R36" s="184">
        <f t="shared" si="0"/>
        <v>2.560318760914687E-3</v>
      </c>
      <c r="S36" s="224" t="b">
        <f t="shared" si="3"/>
        <v>1</v>
      </c>
      <c r="T36" s="85" t="str">
        <f>'Quadro Geral'!E37</f>
        <v>Assegurar a eficácia no atendimento e no relacionamento com os Arquitetos e Urbanistas e a Sociedade</v>
      </c>
    </row>
    <row r="37" spans="1:20" x14ac:dyDescent="0.25">
      <c r="A37" s="105" t="str">
        <f>'Quadro Geral'!A38</f>
        <v>Presidência</v>
      </c>
      <c r="B37" s="105" t="str">
        <f>'Quadro Geral'!B38</f>
        <v>P</v>
      </c>
      <c r="C37" s="106" t="str">
        <f>'Quadro Geral'!C38</f>
        <v>Eleiçoes</v>
      </c>
      <c r="D37" s="178">
        <f>'Quadro Geral'!I38</f>
        <v>0</v>
      </c>
      <c r="E37" s="223"/>
      <c r="F37" s="179"/>
      <c r="G37" s="179"/>
      <c r="H37" s="179"/>
      <c r="I37" s="179"/>
      <c r="J37" s="179"/>
      <c r="K37" s="179"/>
      <c r="L37" s="179"/>
      <c r="M37" s="179"/>
      <c r="N37" s="179"/>
      <c r="O37" s="180">
        <f t="shared" si="1"/>
        <v>0</v>
      </c>
      <c r="P37" s="179"/>
      <c r="Q37" s="180">
        <f t="shared" si="2"/>
        <v>0</v>
      </c>
      <c r="R37" s="184">
        <f t="shared" si="0"/>
        <v>0</v>
      </c>
      <c r="S37" s="224" t="b">
        <f t="shared" si="3"/>
        <v>1</v>
      </c>
      <c r="T37" s="85" t="str">
        <f>'Quadro Geral'!E38</f>
        <v>Aprimorar e inovar os processos e as ações</v>
      </c>
    </row>
    <row r="38" spans="1:20" x14ac:dyDescent="0.25">
      <c r="A38" s="105">
        <f>'Quadro Geral'!A39</f>
        <v>0</v>
      </c>
      <c r="B38" s="105">
        <f>'Quadro Geral'!B39</f>
        <v>0</v>
      </c>
      <c r="C38" s="106">
        <f>'Quadro Geral'!C39</f>
        <v>0</v>
      </c>
      <c r="D38" s="178">
        <f>'Quadro Geral'!I39</f>
        <v>0</v>
      </c>
      <c r="E38" s="223"/>
      <c r="F38" s="179"/>
      <c r="G38" s="179"/>
      <c r="H38" s="179"/>
      <c r="I38" s="179"/>
      <c r="J38" s="179"/>
      <c r="K38" s="179"/>
      <c r="L38" s="179"/>
      <c r="M38" s="179"/>
      <c r="N38" s="179"/>
      <c r="O38" s="180">
        <f t="shared" si="1"/>
        <v>0</v>
      </c>
      <c r="P38" s="179"/>
      <c r="Q38" s="180">
        <f t="shared" si="2"/>
        <v>0</v>
      </c>
      <c r="R38" s="184">
        <f t="shared" si="0"/>
        <v>0</v>
      </c>
      <c r="S38" s="224" t="b">
        <f t="shared" si="3"/>
        <v>1</v>
      </c>
      <c r="T38" s="85">
        <f>'Quadro Geral'!E39</f>
        <v>0</v>
      </c>
    </row>
    <row r="39" spans="1:20" s="104" customFormat="1" x14ac:dyDescent="0.25">
      <c r="A39" s="348" t="s">
        <v>43</v>
      </c>
      <c r="B39" s="348"/>
      <c r="C39" s="348"/>
      <c r="D39" s="181">
        <f>SUM(D7:D38)</f>
        <v>11717291.01</v>
      </c>
      <c r="E39" s="223"/>
      <c r="F39" s="182">
        <f t="shared" ref="F39:R39" si="4">SUM(F7:F38)</f>
        <v>2587869.1800000002</v>
      </c>
      <c r="G39" s="182">
        <f t="shared" si="4"/>
        <v>74700</v>
      </c>
      <c r="H39" s="182">
        <f t="shared" si="4"/>
        <v>0</v>
      </c>
      <c r="I39" s="182">
        <f t="shared" si="4"/>
        <v>183200</v>
      </c>
      <c r="J39" s="182">
        <f t="shared" si="4"/>
        <v>358800</v>
      </c>
      <c r="K39" s="182">
        <f t="shared" si="4"/>
        <v>2340187.4500000002</v>
      </c>
      <c r="L39" s="182">
        <f t="shared" si="4"/>
        <v>691534.38</v>
      </c>
      <c r="M39" s="182">
        <f t="shared" si="4"/>
        <v>41000</v>
      </c>
      <c r="N39" s="182">
        <f t="shared" si="4"/>
        <v>0</v>
      </c>
      <c r="O39" s="182">
        <f t="shared" si="4"/>
        <v>6277291.0099999988</v>
      </c>
      <c r="P39" s="182">
        <f t="shared" si="4"/>
        <v>5440000</v>
      </c>
      <c r="Q39" s="182">
        <f t="shared" si="4"/>
        <v>11717291.01</v>
      </c>
      <c r="R39" s="417">
        <f t="shared" si="4"/>
        <v>1</v>
      </c>
      <c r="S39" s="224" t="b">
        <f t="shared" si="3"/>
        <v>1</v>
      </c>
    </row>
    <row r="40" spans="1:20" s="104" customFormat="1" x14ac:dyDescent="0.25">
      <c r="A40" s="348" t="s">
        <v>39</v>
      </c>
      <c r="B40" s="348"/>
      <c r="C40" s="348"/>
      <c r="D40" s="348"/>
      <c r="E40" s="222"/>
      <c r="F40" s="183">
        <f>IFERROR(F39/$Q39,0)</f>
        <v>0.22085900041156359</v>
      </c>
      <c r="G40" s="183">
        <f t="shared" ref="G40:P40" si="5">IFERROR(G39/$Q39,0)</f>
        <v>6.3751937146775701E-3</v>
      </c>
      <c r="H40" s="183">
        <f t="shared" si="5"/>
        <v>0</v>
      </c>
      <c r="I40" s="183">
        <f t="shared" si="5"/>
        <v>1.563501323331902E-2</v>
      </c>
      <c r="J40" s="183">
        <f t="shared" si="5"/>
        <v>3.0621412380539656E-2</v>
      </c>
      <c r="K40" s="183">
        <f t="shared" si="5"/>
        <v>0.19972086107640338</v>
      </c>
      <c r="L40" s="183">
        <f t="shared" si="5"/>
        <v>5.9018281564383546E-2</v>
      </c>
      <c r="M40" s="183">
        <f t="shared" si="5"/>
        <v>3.4991023065834054E-3</v>
      </c>
      <c r="N40" s="183">
        <f t="shared" si="5"/>
        <v>0</v>
      </c>
      <c r="O40" s="183">
        <f t="shared" si="5"/>
        <v>0.53572886468747005</v>
      </c>
      <c r="P40" s="183">
        <f t="shared" si="5"/>
        <v>0.46427113531252989</v>
      </c>
      <c r="Q40" s="183">
        <f>O40+P40</f>
        <v>1</v>
      </c>
      <c r="R40" s="417"/>
      <c r="S40" s="88"/>
    </row>
    <row r="41" spans="1:20" s="103" customFormat="1" ht="25.5" x14ac:dyDescent="0.25">
      <c r="A41" s="225" t="str">
        <f>'Quadro Geral'!A41</f>
        <v>LEGENDA: P = PROJETO/ A = ATIVIDADE/ PE = PROJETO ESTRATÉGICO</v>
      </c>
      <c r="B41" s="102"/>
      <c r="C41" s="225"/>
      <c r="D41" s="85" t="b">
        <f>D39='Anexo 1. Fontes e Aplicações'!D25</f>
        <v>1</v>
      </c>
      <c r="E41" s="222"/>
      <c r="F41" s="85" t="b">
        <f>F39='Anexo 2. Limites Estratégicos'!E8</f>
        <v>1</v>
      </c>
      <c r="G41" s="102"/>
      <c r="I41" s="225"/>
      <c r="J41" s="225"/>
      <c r="K41" s="225"/>
      <c r="L41" s="225"/>
      <c r="M41" s="252"/>
      <c r="N41" s="225"/>
      <c r="O41" s="85" t="b">
        <f>Q39-P39=O39</f>
        <v>1</v>
      </c>
      <c r="P41" s="85" t="b">
        <f>('Anexo 1. Fontes e Aplicações'!D23-'Anexo 1. Fontes e Aplicações'!D29)='Anexo 3. Elemento de Despesas'!P39</f>
        <v>1</v>
      </c>
      <c r="Q41" s="226" t="b">
        <f>Q39='Quadro Geral'!I40</f>
        <v>1</v>
      </c>
      <c r="R41" s="225"/>
      <c r="S41" s="102"/>
    </row>
    <row r="42" spans="1:20" s="103" customFormat="1" ht="25.5" x14ac:dyDescent="0.25">
      <c r="A42" s="412" t="s">
        <v>152</v>
      </c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102"/>
    </row>
    <row r="43" spans="1:20" s="103" customFormat="1" ht="321.75" customHeight="1" x14ac:dyDescent="0.25">
      <c r="A43" s="413" t="s">
        <v>288</v>
      </c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102"/>
    </row>
    <row r="44" spans="1:20" x14ac:dyDescent="0.25"/>
    <row r="45" spans="1:20" x14ac:dyDescent="0.25"/>
    <row r="46" spans="1:20" x14ac:dyDescent="0.25"/>
    <row r="47" spans="1:20" x14ac:dyDescent="0.25"/>
    <row r="48" spans="1:20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</sheetData>
  <mergeCells count="24">
    <mergeCell ref="A2:R2"/>
    <mergeCell ref="H5:H6"/>
    <mergeCell ref="N5:N6"/>
    <mergeCell ref="O5:O6"/>
    <mergeCell ref="P5:P6"/>
    <mergeCell ref="Q5:Q6"/>
    <mergeCell ref="A5:A6"/>
    <mergeCell ref="C5:C6"/>
    <mergeCell ref="D5:D6"/>
    <mergeCell ref="F5:G5"/>
    <mergeCell ref="A3:R3"/>
    <mergeCell ref="R5:R6"/>
    <mergeCell ref="B5:B6"/>
    <mergeCell ref="AA4:AD6"/>
    <mergeCell ref="AE4:AH6"/>
    <mergeCell ref="S5:S6"/>
    <mergeCell ref="A42:R42"/>
    <mergeCell ref="A43:R43"/>
    <mergeCell ref="I5:K5"/>
    <mergeCell ref="L5:L6"/>
    <mergeCell ref="M5:M6"/>
    <mergeCell ref="A39:C39"/>
    <mergeCell ref="R39:R40"/>
    <mergeCell ref="A40:D40"/>
  </mergeCells>
  <conditionalFormatting sqref="F41 S7:S39">
    <cfRule type="cellIs" dxfId="2" priority="3" operator="equal">
      <formula>TRUE</formula>
    </cfRule>
  </conditionalFormatting>
  <conditionalFormatting sqref="O41:Q41">
    <cfRule type="cellIs" dxfId="1" priority="1" operator="equal">
      <formula>TRUE</formula>
    </cfRule>
  </conditionalFormatting>
  <conditionalFormatting sqref="D41">
    <cfRule type="cellIs" dxfId="0" priority="4" operator="equal">
      <formula>TRUE</formula>
    </cfRule>
  </conditionalFormatting>
  <pageMargins left="0.51181102362204722" right="0.51181102362204722" top="0.78740157480314965" bottom="0.78740157480314965" header="0.31496062992125984" footer="0.31496062992125984"/>
  <pageSetup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6</vt:i4>
      </vt:variant>
    </vt:vector>
  </HeadingPairs>
  <TitlesOfParts>
    <vt:vector size="16" baseType="lpstr">
      <vt:lpstr>Orientações Iniciais</vt:lpstr>
      <vt:lpstr>Diretrizes - Resumo</vt:lpstr>
      <vt:lpstr>Matriz de Obj. Estrat.</vt:lpstr>
      <vt:lpstr>Mapa Estratégico e ODS</vt:lpstr>
      <vt:lpstr>Indicadores e Metas</vt:lpstr>
      <vt:lpstr>Quadro Geral</vt:lpstr>
      <vt:lpstr>Anexo 1. Fontes e Aplicações</vt:lpstr>
      <vt:lpstr>Anexo 2. Limites Estratégicos</vt:lpstr>
      <vt:lpstr>Anexo 3. Elemento de Despesas</vt:lpstr>
      <vt:lpstr>Validação de dados</vt:lpstr>
      <vt:lpstr>'Anexo 1. Fontes e Aplicações'!Area_de_impressao</vt:lpstr>
      <vt:lpstr>'Anexo 2. Limites Estratégicos'!Area_de_impressao</vt:lpstr>
      <vt:lpstr>'Indicadores e Metas'!Area_de_impressao</vt:lpstr>
      <vt:lpstr>'Mapa Estratégico e ODS'!Area_de_impressao</vt:lpstr>
      <vt:lpstr>'Matriz de Obj. Estrat.'!Area_de_impressao</vt:lpstr>
      <vt:lpstr>'Quadro Geral'!Area_de_impressao</vt:lpstr>
    </vt:vector>
  </TitlesOfParts>
  <Manager>Luiz Antonio Poletto</Manager>
  <Company>CAU/BR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Programação 2022</dc:subject>
  <dc:creator>GERPLAN-CAU/BR</dc:creator>
  <cp:lastModifiedBy>Ralfe Vinhas</cp:lastModifiedBy>
  <cp:lastPrinted>2023-11-01T18:04:09Z</cp:lastPrinted>
  <dcterms:created xsi:type="dcterms:W3CDTF">2013-07-30T15:20:59Z</dcterms:created>
  <dcterms:modified xsi:type="dcterms:W3CDTF">2024-01-10T13:02:23Z</dcterms:modified>
</cp:coreProperties>
</file>