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Default Extension="sldx" ContentType="application/vnd.openxmlformats-officedocument.presentationml.slide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richData/rdRichValueTypes.xml" ContentType="application/vnd.ms-excel.rdrichvaluetypes+xml"/>
  <Override PartName="/xl/richData/rdrichvaluestructure.xml" ContentType="application/vnd.ms-excel.rdrichvaluestructure+xml"/>
  <Override PartName="/xl/richData/rdrichvalue.xml" ContentType="application/vnd.ms-excel.rdrichvalu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0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C:\Users\Zaile Chagas\Desktop\"/>
    </mc:Choice>
  </mc:AlternateContent>
  <xr:revisionPtr revIDLastSave="0" documentId="13_ncr:1_{ACBD199B-9EFE-4D89-B95D-131D7ACE1D1C}" xr6:coauthVersionLast="36" xr6:coauthVersionMax="36" xr10:uidLastSave="{00000000-0000-0000-0000-000000000000}"/>
  <bookViews>
    <workbookView xWindow="0" yWindow="0" windowWidth="12756" windowHeight="8472" tabRatio="887" firstSheet="1" activeTab="1" xr2:uid="{00000000-000D-0000-FFFF-FFFF00000000}"/>
  </bookViews>
  <sheets>
    <sheet name="Orientações Iniciais" sheetId="29" state="hidden" r:id="rId1"/>
    <sheet name="Mapa Estratégico e ODS " sheetId="35" r:id="rId2"/>
    <sheet name="Indicadores e Metas" sheetId="36" r:id="rId3"/>
    <sheet name="Quadro Geral" sheetId="15" r:id="rId4"/>
    <sheet name="Anexo 1. Fontes e Aplicações" sheetId="8" r:id="rId5"/>
    <sheet name="Anexo 2. Limites Estratégicos" sheetId="23" r:id="rId6"/>
    <sheet name="Anexo 3. Elemento de Despesas" sheetId="38" r:id="rId7"/>
    <sheet name="Matriz de Obj. Estrat." sheetId="39" state="hidden" r:id="rId8"/>
    <sheet name="Receita" sheetId="42" state="hidden" r:id="rId9"/>
    <sheet name="Despesa" sheetId="41" state="hidden" r:id="rId10"/>
    <sheet name="Diretrizes - Resumo" sheetId="40" state="hidden" r:id="rId11"/>
    <sheet name="Resumo" sheetId="31" state="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__xlfn_IFERROR">#N/A</definedName>
    <definedName name="_xlnm._FilterDatabase" localSheetId="10" hidden="1">'Diretrizes - Resumo'!$A$3:$V$30</definedName>
    <definedName name="_xlnm._FilterDatabase" localSheetId="2" hidden="1">'Indicadores e Metas'!$A$29:$S$101</definedName>
    <definedName name="_xlnm._FilterDatabase" localSheetId="3" hidden="1">'Quadro Geral'!$A$6:$L$45</definedName>
    <definedName name="A" localSheetId="6">#REF!</definedName>
    <definedName name="A" localSheetId="10">#REF!</definedName>
    <definedName name="A" localSheetId="2">#REF!</definedName>
    <definedName name="A" localSheetId="1">#REF!</definedName>
    <definedName name="A" localSheetId="7">#REF!</definedName>
    <definedName name="A" localSheetId="0">#REF!</definedName>
    <definedName name="A" localSheetId="3">#REF!</definedName>
    <definedName name="A">#REF!</definedName>
    <definedName name="aaa">#REF!</definedName>
    <definedName name="Anexo" localSheetId="10">#REF!</definedName>
    <definedName name="Anexo" localSheetId="2">#REF!</definedName>
    <definedName name="Anexo" localSheetId="7">#REF!</definedName>
    <definedName name="Anexo">#REF!</definedName>
    <definedName name="Anexo_1.4.4" localSheetId="2">#REF!</definedName>
    <definedName name="Anexo_1.4.4" localSheetId="7">#REF!</definedName>
    <definedName name="Anexo_1.4.4">#REF!</definedName>
    <definedName name="ar">#N/A</definedName>
    <definedName name="_xlnm.Print_Area" localSheetId="4">'Anexo 1. Fontes e Aplicações'!$A$1:$H$37</definedName>
    <definedName name="_xlnm.Print_Area" localSheetId="6">'Anexo 3. Elemento de Despesas'!$A$1:$S$56</definedName>
    <definedName name="_xlnm.Print_Area" localSheetId="2">'Indicadores e Metas'!$A$1:$F$106</definedName>
    <definedName name="_xlnm.Print_Area" localSheetId="1">'Mapa Estratégico e ODS '!$A$1:$I$25</definedName>
    <definedName name="_xlnm.Print_Area" localSheetId="7">'Matriz de Obj. Estrat.'!$A$1:$K$19</definedName>
    <definedName name="_xlnm.Print_Area" localSheetId="3">'Quadro Geral'!$A$1:$O$47</definedName>
    <definedName name="asas" localSheetId="10">#REF!</definedName>
    <definedName name="asas" localSheetId="2">#REF!</definedName>
    <definedName name="asas" localSheetId="7">#REF!</definedName>
    <definedName name="asas">#REF!</definedName>
    <definedName name="ass" localSheetId="10">#REF!</definedName>
    <definedName name="ass" localSheetId="2">#REF!</definedName>
    <definedName name="ass" localSheetId="7">#REF!</definedName>
    <definedName name="ass">#REF!</definedName>
    <definedName name="_xlnm.Database" localSheetId="6">#REF!</definedName>
    <definedName name="_xlnm.Database" localSheetId="10">#REF!</definedName>
    <definedName name="_xlnm.Database" localSheetId="2">#REF!</definedName>
    <definedName name="_xlnm.Database" localSheetId="1">#REF!</definedName>
    <definedName name="_xlnm.Database" localSheetId="7">#REF!</definedName>
    <definedName name="_xlnm.Database" localSheetId="0">#REF!</definedName>
    <definedName name="_xlnm.Database" localSheetId="3">#REF!</definedName>
    <definedName name="_xlnm.Database">#REF!</definedName>
    <definedName name="banco_de_dados_sym" localSheetId="6">#REF!</definedName>
    <definedName name="banco_de_dados_sym" localSheetId="10">#REF!</definedName>
    <definedName name="banco_de_dados_sym" localSheetId="2">#REF!</definedName>
    <definedName name="banco_de_dados_sym" localSheetId="1">#REF!</definedName>
    <definedName name="banco_de_dados_sym" localSheetId="7">#REF!</definedName>
    <definedName name="banco_de_dados_sym">#REF!</definedName>
    <definedName name="Copia" localSheetId="2">#REF!</definedName>
    <definedName name="Copia" localSheetId="7">#REF!</definedName>
    <definedName name="Copia">#REF!</definedName>
    <definedName name="copia2" localSheetId="2">#REF!</definedName>
    <definedName name="copia2" localSheetId="7">#REF!</definedName>
    <definedName name="copia2">#REF!</definedName>
    <definedName name="_xlnm.Criteria" localSheetId="6">#REF!</definedName>
    <definedName name="_xlnm.Criteria" localSheetId="10">#REF!</definedName>
    <definedName name="_xlnm.Criteria" localSheetId="2">#REF!</definedName>
    <definedName name="_xlnm.Criteria" localSheetId="1">#REF!</definedName>
    <definedName name="_xlnm.Criteria" localSheetId="7">#REF!</definedName>
    <definedName name="_xlnm.Criteria">#REF!</definedName>
    <definedName name="dados" localSheetId="6">#REF!</definedName>
    <definedName name="dados" localSheetId="10">#REF!</definedName>
    <definedName name="dados" localSheetId="2">#REF!</definedName>
    <definedName name="dados" localSheetId="1">#REF!</definedName>
    <definedName name="dados" localSheetId="7">#REF!</definedName>
    <definedName name="dados">#REF!</definedName>
    <definedName name="Database" localSheetId="7">#REF!</definedName>
    <definedName name="Database">#REF!</definedName>
    <definedName name="DEZEMBRO" localSheetId="7">#REF!</definedName>
    <definedName name="DEZEMBRO">#REF!</definedName>
    <definedName name="huala" localSheetId="6">#REF!</definedName>
    <definedName name="huala" localSheetId="10">#REF!</definedName>
    <definedName name="huala" localSheetId="2">#REF!</definedName>
    <definedName name="huala" localSheetId="1">#REF!</definedName>
    <definedName name="huala" localSheetId="7">#REF!</definedName>
    <definedName name="huala">#REF!</definedName>
    <definedName name="jfhajdfh">#REF!</definedName>
    <definedName name="kk" localSheetId="6">#REF!</definedName>
    <definedName name="kk" localSheetId="10">#REF!</definedName>
    <definedName name="kk" localSheetId="2">#REF!</definedName>
    <definedName name="kk" localSheetId="1">#REF!</definedName>
    <definedName name="kk" localSheetId="7">#REF!</definedName>
    <definedName name="kk">#REF!</definedName>
    <definedName name="Percentual5" localSheetId="10">'[1]Estudos - Receita'!$XFB$1:$XFB$20</definedName>
    <definedName name="Percentual5">'[2]Estudos - Receita'!$XFB$1:$XFB$20</definedName>
    <definedName name="PJ2anos" localSheetId="10">'[1]Estudos - Quant. PJ'!$K:$O,'[1]Estudos - Quant. PJ'!$J$2</definedName>
    <definedName name="PJ2anos">'[2]Estudos - Quant. PJ'!$K:$O,'[2]Estudos - Quant. PJ'!$J$2</definedName>
    <definedName name="PREs">#N/A</definedName>
    <definedName name="Presid">#N/A</definedName>
    <definedName name="X" localSheetId="10">#REF!</definedName>
    <definedName name="X" localSheetId="7">#REF!</definedName>
    <definedName name="X">#REF!</definedName>
    <definedName name="XFE1048575" localSheetId="10">#REF!</definedName>
    <definedName name="XFE1048575" localSheetId="2">#REF!</definedName>
    <definedName name="XFE1048575" localSheetId="7">#REF!</definedName>
    <definedName name="XFE1048575">#REF!</definedName>
    <definedName name="XFe1048576" localSheetId="10">#REF!</definedName>
    <definedName name="XFe1048576" localSheetId="2">#REF!</definedName>
    <definedName name="XFe1048576" localSheetId="7">#REF!</definedName>
    <definedName name="XFe1048576">#REF!</definedName>
  </definedNames>
  <calcPr calcId="191029"/>
</workbook>
</file>

<file path=xl/calcChain.xml><?xml version="1.0" encoding="utf-8"?>
<calcChain xmlns="http://schemas.openxmlformats.org/spreadsheetml/2006/main">
  <c r="X20" i="15" l="1"/>
  <c r="X19" i="15"/>
  <c r="X18" i="15"/>
  <c r="X17" i="15"/>
  <c r="X16" i="15"/>
  <c r="X15" i="15"/>
  <c r="X14" i="15"/>
  <c r="X10" i="15"/>
  <c r="D34" i="8" l="1"/>
  <c r="N19" i="8"/>
  <c r="O19" i="8" s="1"/>
  <c r="K33" i="15"/>
  <c r="E34" i="8" s="1"/>
  <c r="K11" i="38" l="1"/>
  <c r="K12" i="15"/>
  <c r="E20" i="8"/>
  <c r="F20" i="8" s="1"/>
  <c r="N13" i="8" l="1"/>
  <c r="N25" i="8"/>
  <c r="N23" i="8"/>
  <c r="O23" i="8" s="1"/>
  <c r="N17" i="8"/>
  <c r="O17" i="8" s="1"/>
  <c r="N16" i="8"/>
  <c r="O16" i="8" s="1"/>
  <c r="N15" i="8"/>
  <c r="O15" i="8" s="1"/>
  <c r="N12" i="8"/>
  <c r="O12" i="8" s="1"/>
  <c r="P15" i="23" l="1"/>
  <c r="P7" i="23"/>
  <c r="P6" i="23"/>
  <c r="N13" i="23"/>
  <c r="E19" i="8"/>
  <c r="F19" i="8" s="1"/>
  <c r="D32" i="8"/>
  <c r="F33" i="8"/>
  <c r="L31" i="8"/>
  <c r="K26" i="15" l="1"/>
  <c r="X42" i="15"/>
  <c r="X41" i="15"/>
  <c r="X40" i="15"/>
  <c r="X39" i="15"/>
  <c r="X38" i="15"/>
  <c r="X37" i="15"/>
  <c r="X36" i="15"/>
  <c r="X35" i="15"/>
  <c r="X34" i="15"/>
  <c r="X33" i="15"/>
  <c r="X32" i="15"/>
  <c r="X31" i="15"/>
  <c r="X30" i="15"/>
  <c r="X29" i="15"/>
  <c r="X28" i="15"/>
  <c r="X27" i="15"/>
  <c r="X26" i="15"/>
  <c r="X25" i="15"/>
  <c r="P32" i="15"/>
  <c r="X24" i="15"/>
  <c r="X23" i="15"/>
  <c r="X22" i="15"/>
  <c r="X21" i="15"/>
  <c r="X13" i="15"/>
  <c r="X12" i="15"/>
  <c r="X11" i="15"/>
  <c r="X9" i="15"/>
  <c r="X8" i="15"/>
  <c r="Q7" i="23" l="1"/>
  <c r="AF4" i="40"/>
  <c r="K43" i="8"/>
  <c r="K42" i="8"/>
  <c r="J35" i="8"/>
  <c r="J34" i="8"/>
  <c r="J33" i="8"/>
  <c r="J24" i="8"/>
  <c r="J23" i="8"/>
  <c r="J21" i="8"/>
  <c r="J20" i="8"/>
  <c r="J19" i="8"/>
  <c r="J18" i="8"/>
  <c r="J17" i="8"/>
  <c r="J16" i="8"/>
  <c r="J15" i="8"/>
  <c r="J13" i="8"/>
  <c r="J12" i="8"/>
  <c r="V42" i="15"/>
  <c r="V41" i="15"/>
  <c r="V40" i="15"/>
  <c r="V39" i="15"/>
  <c r="V38" i="15"/>
  <c r="V37" i="15"/>
  <c r="W42" i="15"/>
  <c r="W41" i="15"/>
  <c r="W40" i="15"/>
  <c r="W39" i="15"/>
  <c r="W38" i="15"/>
  <c r="W37" i="15"/>
  <c r="W36" i="15"/>
  <c r="W35" i="15"/>
  <c r="W34" i="15"/>
  <c r="W33" i="15"/>
  <c r="W32" i="15"/>
  <c r="W31" i="15"/>
  <c r="W30" i="15"/>
  <c r="W29" i="15"/>
  <c r="W28" i="15"/>
  <c r="V36" i="15"/>
  <c r="V35" i="15"/>
  <c r="V34" i="15"/>
  <c r="V33" i="15"/>
  <c r="V32" i="15"/>
  <c r="V31" i="15"/>
  <c r="V30" i="15"/>
  <c r="V29" i="15"/>
  <c r="V28" i="15"/>
  <c r="V27" i="15"/>
  <c r="W27" i="15"/>
  <c r="W25" i="15"/>
  <c r="W24" i="15"/>
  <c r="W23" i="15"/>
  <c r="W22" i="15"/>
  <c r="W21" i="15"/>
  <c r="W20" i="15"/>
  <c r="W19" i="15"/>
  <c r="W18" i="15"/>
  <c r="V25" i="15"/>
  <c r="V26" i="15"/>
  <c r="V24" i="15"/>
  <c r="V23" i="15"/>
  <c r="V22" i="15"/>
  <c r="V21" i="15"/>
  <c r="V20" i="15"/>
  <c r="V19" i="15"/>
  <c r="V18" i="15"/>
  <c r="W14" i="15"/>
  <c r="V17" i="15"/>
  <c r="W17" i="15"/>
  <c r="W16" i="15"/>
  <c r="W15" i="15"/>
  <c r="W13" i="15"/>
  <c r="W11" i="15"/>
  <c r="W10" i="15"/>
  <c r="W9" i="15"/>
  <c r="V16" i="15"/>
  <c r="V15" i="15"/>
  <c r="V14" i="15"/>
  <c r="V13" i="15"/>
  <c r="V12" i="15"/>
  <c r="V10" i="15"/>
  <c r="V11" i="15"/>
  <c r="V9" i="15"/>
  <c r="T42" i="15"/>
  <c r="T41" i="15"/>
  <c r="T40" i="15"/>
  <c r="T39" i="15"/>
  <c r="T38" i="15"/>
  <c r="T37" i="15"/>
  <c r="T36" i="15"/>
  <c r="T35" i="15"/>
  <c r="T34" i="15"/>
  <c r="T33" i="15"/>
  <c r="T32" i="15"/>
  <c r="T31" i="15"/>
  <c r="T30" i="15"/>
  <c r="T29" i="15"/>
  <c r="T28" i="15"/>
  <c r="T27" i="15"/>
  <c r="T26" i="15"/>
  <c r="T25" i="15"/>
  <c r="T24" i="15"/>
  <c r="T23" i="15"/>
  <c r="T22" i="15"/>
  <c r="T21" i="15"/>
  <c r="T20" i="15"/>
  <c r="T19" i="15"/>
  <c r="T18" i="15"/>
  <c r="T17" i="15"/>
  <c r="T16" i="15"/>
  <c r="T15" i="15"/>
  <c r="T14" i="15"/>
  <c r="T13" i="15"/>
  <c r="T12" i="15"/>
  <c r="U11" i="15"/>
  <c r="U12" i="15"/>
  <c r="U13" i="15"/>
  <c r="U14" i="15"/>
  <c r="U15" i="15"/>
  <c r="U16" i="15"/>
  <c r="U17" i="15"/>
  <c r="U18" i="15"/>
  <c r="U19" i="15"/>
  <c r="U20" i="15"/>
  <c r="U21" i="15"/>
  <c r="U22" i="15"/>
  <c r="U23" i="15"/>
  <c r="U24" i="15"/>
  <c r="U25" i="15"/>
  <c r="U26" i="15"/>
  <c r="U27" i="15"/>
  <c r="U28" i="15"/>
  <c r="U29" i="15"/>
  <c r="U30" i="15"/>
  <c r="U31" i="15"/>
  <c r="U32" i="15"/>
  <c r="U33" i="15"/>
  <c r="U34" i="15"/>
  <c r="U35" i="15"/>
  <c r="U36" i="15"/>
  <c r="U37" i="15"/>
  <c r="U38" i="15"/>
  <c r="U39" i="15"/>
  <c r="U40" i="15"/>
  <c r="U41" i="15"/>
  <c r="U42" i="15"/>
  <c r="S42" i="15"/>
  <c r="S41" i="15"/>
  <c r="S40" i="15"/>
  <c r="S39" i="15"/>
  <c r="S38" i="15"/>
  <c r="S37" i="15"/>
  <c r="S36" i="15"/>
  <c r="S35" i="15"/>
  <c r="S34" i="15"/>
  <c r="S33" i="15"/>
  <c r="S32" i="15"/>
  <c r="S31" i="15"/>
  <c r="S30" i="15"/>
  <c r="S29" i="15"/>
  <c r="S28" i="15"/>
  <c r="S27" i="15"/>
  <c r="S26" i="15"/>
  <c r="S25" i="15"/>
  <c r="S24" i="15"/>
  <c r="S23" i="15"/>
  <c r="S22" i="15"/>
  <c r="S21" i="15"/>
  <c r="S20" i="15"/>
  <c r="S19" i="15"/>
  <c r="S18" i="15"/>
  <c r="S17" i="15"/>
  <c r="S16" i="15"/>
  <c r="S15" i="15"/>
  <c r="S14" i="15"/>
  <c r="S13" i="15"/>
  <c r="S12" i="15"/>
  <c r="S11" i="15"/>
  <c r="S10" i="15"/>
  <c r="T11" i="15"/>
  <c r="T10" i="15"/>
  <c r="U10" i="15"/>
  <c r="U9" i="15"/>
  <c r="T9" i="15"/>
  <c r="S9" i="15"/>
  <c r="R42" i="15"/>
  <c r="R41" i="15"/>
  <c r="R40" i="15"/>
  <c r="R39" i="15"/>
  <c r="R38" i="15"/>
  <c r="R37" i="15"/>
  <c r="R36" i="15"/>
  <c r="R35" i="15"/>
  <c r="R34" i="15"/>
  <c r="R33" i="15"/>
  <c r="R32" i="15"/>
  <c r="R31" i="15"/>
  <c r="R30" i="15"/>
  <c r="R29" i="15"/>
  <c r="R28" i="15"/>
  <c r="R27" i="15"/>
  <c r="R26" i="15"/>
  <c r="R25" i="15"/>
  <c r="R24" i="15"/>
  <c r="R23" i="15"/>
  <c r="R22" i="15"/>
  <c r="R21" i="15"/>
  <c r="R20" i="15"/>
  <c r="R19" i="15"/>
  <c r="R18" i="15"/>
  <c r="R17" i="15"/>
  <c r="R16" i="15"/>
  <c r="R15" i="15"/>
  <c r="R14" i="15"/>
  <c r="R13" i="15"/>
  <c r="R12" i="15"/>
  <c r="R11" i="15"/>
  <c r="R10" i="15"/>
  <c r="R9" i="15"/>
  <c r="Q20" i="15"/>
  <c r="Q19" i="15"/>
  <c r="Q42" i="15"/>
  <c r="Q41" i="15"/>
  <c r="Q40" i="15"/>
  <c r="Q39" i="15"/>
  <c r="Q38" i="15"/>
  <c r="Q37" i="15"/>
  <c r="Q36" i="15"/>
  <c r="Q35" i="15"/>
  <c r="Q34" i="15"/>
  <c r="Q33" i="15"/>
  <c r="Q31" i="15"/>
  <c r="Q32" i="15"/>
  <c r="Q30" i="15"/>
  <c r="Q29" i="15"/>
  <c r="Q28" i="15"/>
  <c r="Q27" i="15"/>
  <c r="Q26" i="15"/>
  <c r="Q25" i="15"/>
  <c r="Q24" i="15"/>
  <c r="Q23" i="15"/>
  <c r="Q22" i="15"/>
  <c r="Q21" i="15"/>
  <c r="Q18" i="15"/>
  <c r="Q17" i="15"/>
  <c r="Q16" i="15"/>
  <c r="Q15" i="15"/>
  <c r="Q14" i="15"/>
  <c r="Q13" i="15"/>
  <c r="Q12" i="15"/>
  <c r="Q11" i="15"/>
  <c r="Q10" i="15"/>
  <c r="Q9" i="15"/>
  <c r="P42" i="15"/>
  <c r="P35" i="15"/>
  <c r="P25" i="15"/>
  <c r="P41" i="15"/>
  <c r="P40" i="15"/>
  <c r="P39" i="15"/>
  <c r="P38" i="15"/>
  <c r="P37" i="15"/>
  <c r="P36" i="15"/>
  <c r="P34" i="15"/>
  <c r="P33" i="15"/>
  <c r="P31" i="15"/>
  <c r="P30" i="15"/>
  <c r="P29" i="15"/>
  <c r="P28" i="15"/>
  <c r="P27" i="15"/>
  <c r="P26" i="15"/>
  <c r="P24" i="15"/>
  <c r="P23" i="15"/>
  <c r="P22" i="15"/>
  <c r="P21" i="15"/>
  <c r="P20" i="15"/>
  <c r="P19" i="15"/>
  <c r="P18" i="15"/>
  <c r="P17" i="15"/>
  <c r="P16" i="15"/>
  <c r="P15" i="15"/>
  <c r="P14" i="15"/>
  <c r="P13" i="15"/>
  <c r="P12" i="15"/>
  <c r="P11" i="15"/>
  <c r="P10" i="15"/>
  <c r="P9" i="15"/>
  <c r="W8" i="15"/>
  <c r="V8" i="15"/>
  <c r="U8" i="15"/>
  <c r="T8" i="15"/>
  <c r="S8" i="15"/>
  <c r="R8" i="15"/>
  <c r="Q8" i="15"/>
  <c r="P8" i="15"/>
  <c r="C32" i="40" l="1"/>
  <c r="D32" i="40" s="1"/>
  <c r="E32" i="40" s="1"/>
  <c r="F32" i="40" s="1"/>
  <c r="G32" i="40" s="1"/>
  <c r="H32" i="40" s="1"/>
  <c r="I32" i="40" s="1"/>
  <c r="J32" i="40" s="1"/>
  <c r="K32" i="40" s="1"/>
  <c r="L32" i="40" s="1"/>
  <c r="M32" i="40" s="1"/>
  <c r="N32" i="40" s="1"/>
  <c r="O32" i="40" s="1"/>
  <c r="P32" i="40" s="1"/>
  <c r="Q32" i="40" s="1"/>
  <c r="R32" i="40" s="1"/>
  <c r="S32" i="40" s="1"/>
  <c r="T32" i="40" s="1"/>
  <c r="U32" i="40" s="1"/>
  <c r="V32" i="40" s="1"/>
  <c r="W32" i="40" s="1"/>
  <c r="X32" i="40" s="1"/>
  <c r="Y32" i="40" s="1"/>
  <c r="Z32" i="40" s="1"/>
  <c r="AA32" i="40" s="1"/>
  <c r="AB32" i="40" s="1"/>
  <c r="AC32" i="40" s="1"/>
  <c r="AD32" i="40" s="1"/>
  <c r="AE32" i="40" s="1"/>
  <c r="AF32" i="40" s="1"/>
  <c r="AG32" i="40" s="1"/>
  <c r="AH32" i="40" s="1"/>
  <c r="AH31" i="40"/>
  <c r="AF30" i="40"/>
  <c r="AD30" i="40"/>
  <c r="AB30" i="40"/>
  <c r="AA30" i="40"/>
  <c r="Z30" i="40"/>
  <c r="Y30" i="40"/>
  <c r="X30" i="40"/>
  <c r="W30" i="40"/>
  <c r="U30" i="40"/>
  <c r="Q30" i="40"/>
  <c r="P30" i="40"/>
  <c r="N30" i="40"/>
  <c r="M30" i="40"/>
  <c r="L30" i="40"/>
  <c r="I30" i="40"/>
  <c r="H30" i="40"/>
  <c r="F30" i="40"/>
  <c r="E30" i="40"/>
  <c r="G30" i="40" s="1"/>
  <c r="C30" i="40"/>
  <c r="B30" i="40"/>
  <c r="AF29" i="40"/>
  <c r="AD29" i="40"/>
  <c r="AB29" i="40"/>
  <c r="AA29" i="40"/>
  <c r="Z29" i="40"/>
  <c r="Y29" i="40"/>
  <c r="X29" i="40"/>
  <c r="W29" i="40"/>
  <c r="U29" i="40"/>
  <c r="Q29" i="40"/>
  <c r="R29" i="40" s="1"/>
  <c r="P29" i="40"/>
  <c r="N29" i="40"/>
  <c r="M29" i="40"/>
  <c r="L29" i="40"/>
  <c r="I29" i="40"/>
  <c r="H29" i="40"/>
  <c r="F29" i="40"/>
  <c r="E29" i="40"/>
  <c r="C29" i="40"/>
  <c r="B29" i="40"/>
  <c r="AF28" i="40"/>
  <c r="AD28" i="40"/>
  <c r="AB28" i="40"/>
  <c r="AA28" i="40"/>
  <c r="Z28" i="40"/>
  <c r="Y28" i="40"/>
  <c r="X28" i="40"/>
  <c r="W28" i="40"/>
  <c r="U28" i="40"/>
  <c r="Q28" i="40"/>
  <c r="P28" i="40"/>
  <c r="N28" i="40"/>
  <c r="M28" i="40"/>
  <c r="L28" i="40"/>
  <c r="I28" i="40"/>
  <c r="H28" i="40"/>
  <c r="F28" i="40"/>
  <c r="E28" i="40"/>
  <c r="G28" i="40" s="1"/>
  <c r="C28" i="40"/>
  <c r="B28" i="40"/>
  <c r="AK27" i="40"/>
  <c r="AF27" i="40"/>
  <c r="AD27" i="40"/>
  <c r="AB27" i="40"/>
  <c r="AA27" i="40"/>
  <c r="Z27" i="40"/>
  <c r="Y27" i="40"/>
  <c r="X27" i="40"/>
  <c r="W27" i="40"/>
  <c r="U27" i="40"/>
  <c r="Q27" i="40"/>
  <c r="P27" i="40"/>
  <c r="N27" i="40"/>
  <c r="M27" i="40"/>
  <c r="L27" i="40"/>
  <c r="I27" i="40"/>
  <c r="H27" i="40"/>
  <c r="F27" i="40"/>
  <c r="E27" i="40"/>
  <c r="C27" i="40"/>
  <c r="B27" i="40"/>
  <c r="AF26" i="40"/>
  <c r="AD26" i="40"/>
  <c r="AB26" i="40"/>
  <c r="AA26" i="40"/>
  <c r="Z26" i="40"/>
  <c r="Y26" i="40"/>
  <c r="X26" i="40"/>
  <c r="W26" i="40"/>
  <c r="U26" i="40"/>
  <c r="Q26" i="40"/>
  <c r="P26" i="40"/>
  <c r="N26" i="40"/>
  <c r="M26" i="40"/>
  <c r="L26" i="40"/>
  <c r="I26" i="40"/>
  <c r="H26" i="40"/>
  <c r="F26" i="40"/>
  <c r="E26" i="40"/>
  <c r="C26" i="40"/>
  <c r="B26" i="40"/>
  <c r="AF25" i="40"/>
  <c r="AD25" i="40"/>
  <c r="AB25" i="40"/>
  <c r="AA25" i="40"/>
  <c r="Z25" i="40"/>
  <c r="Y25" i="40"/>
  <c r="X25" i="40"/>
  <c r="W25" i="40"/>
  <c r="U25" i="40"/>
  <c r="Q25" i="40"/>
  <c r="P25" i="40"/>
  <c r="N25" i="40"/>
  <c r="M25" i="40"/>
  <c r="L25" i="40"/>
  <c r="I25" i="40"/>
  <c r="H25" i="40"/>
  <c r="F25" i="40"/>
  <c r="E25" i="40"/>
  <c r="C25" i="40"/>
  <c r="B25" i="40"/>
  <c r="AF24" i="40"/>
  <c r="AD24" i="40"/>
  <c r="AB24" i="40"/>
  <c r="AA24" i="40"/>
  <c r="Z24" i="40"/>
  <c r="Y24" i="40"/>
  <c r="X24" i="40"/>
  <c r="W24" i="40"/>
  <c r="U24" i="40"/>
  <c r="Q24" i="40"/>
  <c r="P24" i="40"/>
  <c r="N24" i="40"/>
  <c r="M24" i="40"/>
  <c r="L24" i="40"/>
  <c r="I24" i="40"/>
  <c r="H24" i="40"/>
  <c r="F24" i="40"/>
  <c r="E24" i="40"/>
  <c r="C24" i="40"/>
  <c r="B24" i="40"/>
  <c r="AF23" i="40"/>
  <c r="AD23" i="40"/>
  <c r="AB23" i="40"/>
  <c r="AA23" i="40"/>
  <c r="Z23" i="40"/>
  <c r="Y23" i="40"/>
  <c r="X23" i="40"/>
  <c r="W23" i="40"/>
  <c r="U23" i="40"/>
  <c r="Q23" i="40"/>
  <c r="P23" i="40"/>
  <c r="N23" i="40"/>
  <c r="M23" i="40"/>
  <c r="L23" i="40"/>
  <c r="I23" i="40"/>
  <c r="H23" i="40"/>
  <c r="F23" i="40"/>
  <c r="E23" i="40"/>
  <c r="C23" i="40"/>
  <c r="B23" i="40"/>
  <c r="AF22" i="40"/>
  <c r="AD22" i="40"/>
  <c r="AB22" i="40"/>
  <c r="AA22" i="40"/>
  <c r="Z22" i="40"/>
  <c r="Y22" i="40"/>
  <c r="X22" i="40"/>
  <c r="W22" i="40"/>
  <c r="U22" i="40"/>
  <c r="Q22" i="40"/>
  <c r="P22" i="40"/>
  <c r="N22" i="40"/>
  <c r="M22" i="40"/>
  <c r="L22" i="40"/>
  <c r="I22" i="40"/>
  <c r="H22" i="40"/>
  <c r="F22" i="40"/>
  <c r="E22" i="40"/>
  <c r="C22" i="40"/>
  <c r="B22" i="40"/>
  <c r="AF21" i="40"/>
  <c r="AD21" i="40"/>
  <c r="AB21" i="40"/>
  <c r="AA21" i="40"/>
  <c r="Z21" i="40"/>
  <c r="Y21" i="40"/>
  <c r="X21" i="40"/>
  <c r="W21" i="40"/>
  <c r="U21" i="40"/>
  <c r="Q21" i="40"/>
  <c r="P21" i="40"/>
  <c r="N21" i="40"/>
  <c r="M21" i="40"/>
  <c r="L21" i="40"/>
  <c r="I21" i="40"/>
  <c r="H21" i="40"/>
  <c r="F21" i="40"/>
  <c r="E21" i="40"/>
  <c r="C21" i="40"/>
  <c r="B21" i="40"/>
  <c r="AF20" i="40"/>
  <c r="AD20" i="40"/>
  <c r="AB20" i="40"/>
  <c r="AA20" i="40"/>
  <c r="Z20" i="40"/>
  <c r="Y20" i="40"/>
  <c r="X20" i="40"/>
  <c r="W20" i="40"/>
  <c r="U20" i="40"/>
  <c r="Q20" i="40"/>
  <c r="P20" i="40"/>
  <c r="N20" i="40"/>
  <c r="M20" i="40"/>
  <c r="L20" i="40"/>
  <c r="I20" i="40"/>
  <c r="H20" i="40"/>
  <c r="F20" i="40"/>
  <c r="E20" i="40"/>
  <c r="C20" i="40"/>
  <c r="B20" i="40"/>
  <c r="AF19" i="40"/>
  <c r="AD19" i="40"/>
  <c r="AB19" i="40"/>
  <c r="AA19" i="40"/>
  <c r="Z19" i="40"/>
  <c r="Y19" i="40"/>
  <c r="X19" i="40"/>
  <c r="W19" i="40"/>
  <c r="U19" i="40"/>
  <c r="Q19" i="40"/>
  <c r="P19" i="40"/>
  <c r="N19" i="40"/>
  <c r="M19" i="40"/>
  <c r="L19" i="40"/>
  <c r="I19" i="40"/>
  <c r="H19" i="40"/>
  <c r="F19" i="40"/>
  <c r="E19" i="40"/>
  <c r="C19" i="40"/>
  <c r="B19" i="40"/>
  <c r="AF18" i="40"/>
  <c r="AD18" i="40"/>
  <c r="AB18" i="40"/>
  <c r="AA18" i="40"/>
  <c r="Z18" i="40"/>
  <c r="Y18" i="40"/>
  <c r="X18" i="40"/>
  <c r="W18" i="40"/>
  <c r="U18" i="40"/>
  <c r="Q18" i="40"/>
  <c r="P18" i="40"/>
  <c r="N18" i="40"/>
  <c r="M18" i="40"/>
  <c r="L18" i="40"/>
  <c r="I18" i="40"/>
  <c r="H18" i="40"/>
  <c r="F18" i="40"/>
  <c r="E18" i="40"/>
  <c r="C18" i="40"/>
  <c r="B18" i="40"/>
  <c r="AF17" i="40"/>
  <c r="AD17" i="40"/>
  <c r="AB17" i="40"/>
  <c r="AA17" i="40"/>
  <c r="Z17" i="40"/>
  <c r="Y17" i="40"/>
  <c r="X17" i="40"/>
  <c r="W17" i="40"/>
  <c r="U17" i="40"/>
  <c r="Q17" i="40"/>
  <c r="P17" i="40"/>
  <c r="N17" i="40"/>
  <c r="M17" i="40"/>
  <c r="L17" i="40"/>
  <c r="I17" i="40"/>
  <c r="H17" i="40"/>
  <c r="F17" i="40"/>
  <c r="E17" i="40"/>
  <c r="C17" i="40"/>
  <c r="B17" i="40"/>
  <c r="AF16" i="40"/>
  <c r="AD16" i="40"/>
  <c r="AB16" i="40"/>
  <c r="AA16" i="40"/>
  <c r="Z16" i="40"/>
  <c r="Y16" i="40"/>
  <c r="X16" i="40"/>
  <c r="W16" i="40"/>
  <c r="U16" i="40"/>
  <c r="Q16" i="40"/>
  <c r="P16" i="40"/>
  <c r="N16" i="40"/>
  <c r="M16" i="40"/>
  <c r="L16" i="40"/>
  <c r="I16" i="40"/>
  <c r="H16" i="40"/>
  <c r="F16" i="40"/>
  <c r="E16" i="40"/>
  <c r="C16" i="40"/>
  <c r="B16" i="40"/>
  <c r="AF15" i="40"/>
  <c r="AD15" i="40"/>
  <c r="AB15" i="40"/>
  <c r="AA15" i="40"/>
  <c r="Z15" i="40"/>
  <c r="Y15" i="40"/>
  <c r="X15" i="40"/>
  <c r="W15" i="40"/>
  <c r="U15" i="40"/>
  <c r="Q15" i="40"/>
  <c r="P15" i="40"/>
  <c r="N15" i="40"/>
  <c r="M15" i="40"/>
  <c r="L15" i="40"/>
  <c r="I15" i="40"/>
  <c r="H15" i="40"/>
  <c r="F15" i="40"/>
  <c r="E15" i="40"/>
  <c r="C15" i="40"/>
  <c r="B15" i="40"/>
  <c r="AF14" i="40"/>
  <c r="AD14" i="40"/>
  <c r="AB14" i="40"/>
  <c r="AA14" i="40"/>
  <c r="Z14" i="40"/>
  <c r="Y14" i="40"/>
  <c r="X14" i="40"/>
  <c r="W14" i="40"/>
  <c r="U14" i="40"/>
  <c r="Q14" i="40"/>
  <c r="P14" i="40"/>
  <c r="N14" i="40"/>
  <c r="M14" i="40"/>
  <c r="L14" i="40"/>
  <c r="I14" i="40"/>
  <c r="H14" i="40"/>
  <c r="F14" i="40"/>
  <c r="E14" i="40"/>
  <c r="C14" i="40"/>
  <c r="B14" i="40"/>
  <c r="AF13" i="40"/>
  <c r="AD13" i="40"/>
  <c r="AB13" i="40"/>
  <c r="AA13" i="40"/>
  <c r="Z13" i="40"/>
  <c r="Y13" i="40"/>
  <c r="X13" i="40"/>
  <c r="W13" i="40"/>
  <c r="U13" i="40"/>
  <c r="Q13" i="40"/>
  <c r="P13" i="40"/>
  <c r="N13" i="40"/>
  <c r="M13" i="40"/>
  <c r="L13" i="40"/>
  <c r="I13" i="40"/>
  <c r="H13" i="40"/>
  <c r="F13" i="40"/>
  <c r="E13" i="40"/>
  <c r="C13" i="40"/>
  <c r="B13" i="40"/>
  <c r="AF12" i="40"/>
  <c r="AD12" i="40"/>
  <c r="AB12" i="40"/>
  <c r="AA12" i="40"/>
  <c r="AK23" i="40" s="1"/>
  <c r="H85" i="36" s="1"/>
  <c r="I85" i="36" s="1"/>
  <c r="Z12" i="40"/>
  <c r="Y12" i="40"/>
  <c r="X12" i="40"/>
  <c r="W12" i="40"/>
  <c r="U12" i="40"/>
  <c r="Q12" i="40"/>
  <c r="AN4" i="40" s="1"/>
  <c r="Y33" i="15" s="1"/>
  <c r="P12" i="40"/>
  <c r="AN3" i="40" s="1"/>
  <c r="N12" i="40"/>
  <c r="M12" i="40"/>
  <c r="L12" i="40"/>
  <c r="I12" i="40"/>
  <c r="AK13" i="40" s="1"/>
  <c r="L18" i="8" s="1"/>
  <c r="H12" i="40"/>
  <c r="F12" i="40"/>
  <c r="E12" i="40"/>
  <c r="C12" i="40"/>
  <c r="B12" i="40"/>
  <c r="AF11" i="40"/>
  <c r="AD11" i="40"/>
  <c r="AB11" i="40"/>
  <c r="AA11" i="40"/>
  <c r="Z11" i="40"/>
  <c r="Y11" i="40"/>
  <c r="X11" i="40"/>
  <c r="W11" i="40"/>
  <c r="U11" i="40"/>
  <c r="Q11" i="40"/>
  <c r="P11" i="40"/>
  <c r="N11" i="40"/>
  <c r="M11" i="40"/>
  <c r="L11" i="40"/>
  <c r="I11" i="40"/>
  <c r="H11" i="40"/>
  <c r="F11" i="40"/>
  <c r="E11" i="40"/>
  <c r="C11" i="40"/>
  <c r="B11" i="40"/>
  <c r="AF10" i="40"/>
  <c r="AD10" i="40"/>
  <c r="AB10" i="40"/>
  <c r="AA10" i="40"/>
  <c r="Z10" i="40"/>
  <c r="Y10" i="40"/>
  <c r="X10" i="40"/>
  <c r="W10" i="40"/>
  <c r="U10" i="40"/>
  <c r="Q10" i="40"/>
  <c r="P10" i="40"/>
  <c r="N10" i="40"/>
  <c r="M10" i="40"/>
  <c r="L10" i="40"/>
  <c r="I10" i="40"/>
  <c r="H10" i="40"/>
  <c r="F10" i="40"/>
  <c r="E10" i="40"/>
  <c r="C10" i="40"/>
  <c r="B10" i="40"/>
  <c r="AN9" i="40"/>
  <c r="AF9" i="40"/>
  <c r="AD9" i="40"/>
  <c r="AB9" i="40"/>
  <c r="AA9" i="40"/>
  <c r="Z9" i="40"/>
  <c r="Y9" i="40"/>
  <c r="X9" i="40"/>
  <c r="W9" i="40"/>
  <c r="U9" i="40"/>
  <c r="Q9" i="40"/>
  <c r="P9" i="40"/>
  <c r="N9" i="40"/>
  <c r="M9" i="40"/>
  <c r="L9" i="40"/>
  <c r="I9" i="40"/>
  <c r="H9" i="40"/>
  <c r="F9" i="40"/>
  <c r="E9" i="40"/>
  <c r="C9" i="40"/>
  <c r="B9" i="40"/>
  <c r="AF8" i="40"/>
  <c r="AD8" i="40"/>
  <c r="AB8" i="40"/>
  <c r="AA8" i="40"/>
  <c r="Z8" i="40"/>
  <c r="Y8" i="40"/>
  <c r="X8" i="40"/>
  <c r="W8" i="40"/>
  <c r="U8" i="40"/>
  <c r="Q8" i="40"/>
  <c r="P8" i="40"/>
  <c r="N8" i="40"/>
  <c r="M8" i="40"/>
  <c r="L8" i="40"/>
  <c r="I8" i="40"/>
  <c r="H8" i="40"/>
  <c r="F8" i="40"/>
  <c r="E8" i="40"/>
  <c r="C8" i="40"/>
  <c r="B8" i="40"/>
  <c r="AF7" i="40"/>
  <c r="AD7" i="40"/>
  <c r="AB7" i="40"/>
  <c r="AA7" i="40"/>
  <c r="Z7" i="40"/>
  <c r="Y7" i="40"/>
  <c r="X7" i="40"/>
  <c r="W7" i="40"/>
  <c r="U7" i="40"/>
  <c r="Q7" i="40"/>
  <c r="P7" i="40"/>
  <c r="N7" i="40"/>
  <c r="M7" i="40"/>
  <c r="L7" i="40"/>
  <c r="I7" i="40"/>
  <c r="H7" i="40"/>
  <c r="F7" i="40"/>
  <c r="E7" i="40"/>
  <c r="C7" i="40"/>
  <c r="B7" i="40"/>
  <c r="AF6" i="40"/>
  <c r="AD6" i="40"/>
  <c r="AB6" i="40"/>
  <c r="AA6" i="40"/>
  <c r="Z6" i="40"/>
  <c r="Y6" i="40"/>
  <c r="X6" i="40"/>
  <c r="W6" i="40"/>
  <c r="U6" i="40"/>
  <c r="Q6" i="40"/>
  <c r="P6" i="40"/>
  <c r="N6" i="40"/>
  <c r="M6" i="40"/>
  <c r="L6" i="40"/>
  <c r="I6" i="40"/>
  <c r="H6" i="40"/>
  <c r="F6" i="40"/>
  <c r="E6" i="40"/>
  <c r="C6" i="40"/>
  <c r="B6" i="40"/>
  <c r="AN5" i="40"/>
  <c r="AF5" i="40"/>
  <c r="AD5" i="40"/>
  <c r="AB5" i="40"/>
  <c r="AA5" i="40"/>
  <c r="Z5" i="40"/>
  <c r="Y5" i="40"/>
  <c r="X5" i="40"/>
  <c r="W5" i="40"/>
  <c r="U5" i="40"/>
  <c r="Q5" i="40"/>
  <c r="P5" i="40"/>
  <c r="N5" i="40"/>
  <c r="M5" i="40"/>
  <c r="L5" i="40"/>
  <c r="I5" i="40"/>
  <c r="H5" i="40"/>
  <c r="F5" i="40"/>
  <c r="E5" i="40"/>
  <c r="C5" i="40"/>
  <c r="B5" i="40"/>
  <c r="AD4" i="40"/>
  <c r="AB4" i="40"/>
  <c r="AA4" i="40"/>
  <c r="Z4" i="40"/>
  <c r="Y4" i="40"/>
  <c r="X4" i="40"/>
  <c r="W4" i="40"/>
  <c r="U4" i="40"/>
  <c r="AK15" i="40" s="1"/>
  <c r="Q4" i="40"/>
  <c r="P4" i="40"/>
  <c r="N4" i="40"/>
  <c r="M4" i="40"/>
  <c r="L4" i="40"/>
  <c r="I4" i="40"/>
  <c r="H4" i="40"/>
  <c r="F4" i="40"/>
  <c r="E4" i="40"/>
  <c r="C4" i="40"/>
  <c r="B4" i="40"/>
  <c r="D5" i="40" l="1"/>
  <c r="G12" i="40"/>
  <c r="G14" i="40"/>
  <c r="G18" i="40"/>
  <c r="G20" i="40"/>
  <c r="G24" i="40"/>
  <c r="AN6" i="40"/>
  <c r="Y25" i="15" s="1"/>
  <c r="AK21" i="40"/>
  <c r="H83" i="36" s="1"/>
  <c r="I83" i="36" s="1"/>
  <c r="G5" i="40"/>
  <c r="D15" i="40"/>
  <c r="D17" i="40"/>
  <c r="D23" i="40"/>
  <c r="D25" i="40"/>
  <c r="G7" i="40"/>
  <c r="D12" i="40"/>
  <c r="D16" i="40"/>
  <c r="G8" i="40"/>
  <c r="Y32" i="15"/>
  <c r="L34" i="8"/>
  <c r="D22" i="40"/>
  <c r="D24" i="40"/>
  <c r="R18" i="40"/>
  <c r="R24" i="40"/>
  <c r="D9" i="40"/>
  <c r="G10" i="40"/>
  <c r="D8" i="40"/>
  <c r="J8" i="40" s="1"/>
  <c r="K8" i="40" s="1"/>
  <c r="AK22" i="40"/>
  <c r="G9" i="40"/>
  <c r="R9" i="40"/>
  <c r="D11" i="40"/>
  <c r="D27" i="40"/>
  <c r="D29" i="40"/>
  <c r="R10" i="40"/>
  <c r="H31" i="40"/>
  <c r="G11" i="40"/>
  <c r="G15" i="40"/>
  <c r="G17" i="40"/>
  <c r="G19" i="40"/>
  <c r="R12" i="40"/>
  <c r="R14" i="40"/>
  <c r="D18" i="40"/>
  <c r="R22" i="40"/>
  <c r="R26" i="40"/>
  <c r="D28" i="40"/>
  <c r="C31" i="40"/>
  <c r="P31" i="40"/>
  <c r="AB31" i="40"/>
  <c r="D6" i="40"/>
  <c r="G16" i="40"/>
  <c r="G26" i="40"/>
  <c r="R8" i="40"/>
  <c r="D10" i="40"/>
  <c r="R11" i="40"/>
  <c r="R13" i="40"/>
  <c r="R19" i="40"/>
  <c r="D21" i="40"/>
  <c r="R21" i="40"/>
  <c r="R25" i="40"/>
  <c r="R27" i="40"/>
  <c r="D7" i="40"/>
  <c r="G21" i="40"/>
  <c r="G27" i="40"/>
  <c r="J27" i="40" s="1"/>
  <c r="K27" i="40" s="1"/>
  <c r="AN7" i="40"/>
  <c r="L53" i="8"/>
  <c r="M53" i="8" s="1"/>
  <c r="L22" i="8"/>
  <c r="G29" i="40"/>
  <c r="F31" i="40"/>
  <c r="AF31" i="40"/>
  <c r="R6" i="40"/>
  <c r="AK7" i="40"/>
  <c r="L12" i="8" s="1"/>
  <c r="G13" i="40"/>
  <c r="R16" i="40"/>
  <c r="R23" i="40"/>
  <c r="AD31" i="40"/>
  <c r="U31" i="40"/>
  <c r="J28" i="40"/>
  <c r="K28" i="40" s="1"/>
  <c r="AK12" i="40"/>
  <c r="L17" i="8" s="1"/>
  <c r="W31" i="40"/>
  <c r="G6" i="40"/>
  <c r="D20" i="40"/>
  <c r="J20" i="40" s="1"/>
  <c r="K20" i="40" s="1"/>
  <c r="G23" i="40"/>
  <c r="J23" i="40" s="1"/>
  <c r="K23" i="40" s="1"/>
  <c r="R28" i="40"/>
  <c r="D30" i="40"/>
  <c r="J30" i="40" s="1"/>
  <c r="K30" i="40" s="1"/>
  <c r="E31" i="40"/>
  <c r="I31" i="40"/>
  <c r="J5" i="40"/>
  <c r="K5" i="40" s="1"/>
  <c r="R20" i="40"/>
  <c r="R30" i="40"/>
  <c r="AK20" i="40"/>
  <c r="D14" i="40"/>
  <c r="J14" i="40" s="1"/>
  <c r="K14" i="40" s="1"/>
  <c r="R15" i="40"/>
  <c r="G25" i="40"/>
  <c r="Q31" i="40"/>
  <c r="D13" i="40"/>
  <c r="J12" i="40"/>
  <c r="K12" i="40" s="1"/>
  <c r="R5" i="40"/>
  <c r="B31" i="40"/>
  <c r="N31" i="40"/>
  <c r="R7" i="40"/>
  <c r="R17" i="40"/>
  <c r="D19" i="40"/>
  <c r="G22" i="40"/>
  <c r="D26" i="40"/>
  <c r="J18" i="40"/>
  <c r="K18" i="40" s="1"/>
  <c r="J17" i="40"/>
  <c r="K17" i="40" s="1"/>
  <c r="AK19" i="40"/>
  <c r="AK10" i="40"/>
  <c r="L15" i="8" s="1"/>
  <c r="X31" i="40"/>
  <c r="D4" i="40"/>
  <c r="AK24" i="40"/>
  <c r="Z31" i="40"/>
  <c r="G4" i="40"/>
  <c r="AK8" i="40"/>
  <c r="AK11" i="40"/>
  <c r="L16" i="8" s="1"/>
  <c r="L31" i="40"/>
  <c r="AN8" i="40"/>
  <c r="L20" i="8" s="1"/>
  <c r="AK16" i="40"/>
  <c r="R4" i="40"/>
  <c r="J19" i="40" l="1"/>
  <c r="K19" i="40" s="1"/>
  <c r="J24" i="40"/>
  <c r="K24" i="40" s="1"/>
  <c r="J15" i="40"/>
  <c r="K15" i="40" s="1"/>
  <c r="J13" i="40"/>
  <c r="K13" i="40" s="1"/>
  <c r="J6" i="40"/>
  <c r="K6" i="40" s="1"/>
  <c r="J29" i="40"/>
  <c r="K29" i="40" s="1"/>
  <c r="J7" i="40"/>
  <c r="K7" i="40" s="1"/>
  <c r="J9" i="40"/>
  <c r="K9" i="40" s="1"/>
  <c r="J11" i="40"/>
  <c r="K11" i="40" s="1"/>
  <c r="J16" i="40"/>
  <c r="K16" i="40" s="1"/>
  <c r="L33" i="8"/>
  <c r="J22" i="40"/>
  <c r="K22" i="40" s="1"/>
  <c r="J26" i="40"/>
  <c r="K26" i="40" s="1"/>
  <c r="J25" i="40"/>
  <c r="K25" i="40" s="1"/>
  <c r="J10" i="40"/>
  <c r="K10" i="40" s="1"/>
  <c r="J21" i="40"/>
  <c r="K21" i="40" s="1"/>
  <c r="AK6" i="40"/>
  <c r="L11" i="8" s="1"/>
  <c r="L13" i="8"/>
  <c r="G31" i="40"/>
  <c r="H16" i="36"/>
  <c r="I16" i="36" s="1"/>
  <c r="AK9" i="40"/>
  <c r="J4" i="40"/>
  <c r="D31" i="40"/>
  <c r="AK5" i="40" l="1"/>
  <c r="L14" i="8"/>
  <c r="K4" i="40"/>
  <c r="J31" i="40"/>
  <c r="AK4" i="40" l="1"/>
  <c r="L10" i="8"/>
  <c r="AK3" i="40" l="1"/>
  <c r="L9" i="8"/>
  <c r="G104" i="36"/>
  <c r="G102" i="36"/>
  <c r="G99" i="36"/>
  <c r="G98" i="36"/>
  <c r="G95" i="36"/>
  <c r="G92" i="36"/>
  <c r="G90" i="36"/>
  <c r="G88" i="36"/>
  <c r="G85" i="36"/>
  <c r="G83" i="36"/>
  <c r="G81" i="36"/>
  <c r="G79" i="36"/>
  <c r="G77" i="36"/>
  <c r="G74" i="36"/>
  <c r="G72" i="36"/>
  <c r="G70" i="36"/>
  <c r="G67" i="36"/>
  <c r="G65" i="36"/>
  <c r="G63" i="36"/>
  <c r="G61" i="36"/>
  <c r="G59" i="36"/>
  <c r="G57" i="36"/>
  <c r="G56" i="36"/>
  <c r="G53" i="36"/>
  <c r="G51" i="36"/>
  <c r="G49" i="36"/>
  <c r="G46" i="36"/>
  <c r="G44" i="36"/>
  <c r="G42" i="36"/>
  <c r="G40" i="36"/>
  <c r="G37" i="36"/>
  <c r="G35" i="36"/>
  <c r="G33" i="36"/>
  <c r="G20" i="36"/>
  <c r="G30" i="36"/>
  <c r="G28" i="36"/>
  <c r="G26" i="36"/>
  <c r="G24" i="36"/>
  <c r="G22" i="36"/>
  <c r="G18" i="36"/>
  <c r="G16" i="36"/>
  <c r="G14" i="36"/>
  <c r="G12" i="36"/>
  <c r="G8" i="36"/>
  <c r="K27" i="15" l="1"/>
  <c r="K21" i="15"/>
  <c r="K18" i="15"/>
  <c r="K17" i="15"/>
  <c r="K16" i="15"/>
  <c r="K15" i="15"/>
  <c r="K14" i="15"/>
  <c r="J17" i="38"/>
  <c r="I17" i="38"/>
  <c r="J16" i="38"/>
  <c r="I16" i="38"/>
  <c r="J15" i="38"/>
  <c r="I15" i="38"/>
  <c r="J14" i="38"/>
  <c r="I14" i="38"/>
  <c r="J13" i="38"/>
  <c r="I13" i="38"/>
  <c r="I20" i="38"/>
  <c r="K38" i="15" l="1"/>
  <c r="K34" i="15"/>
  <c r="K29" i="15"/>
  <c r="K19" i="15"/>
  <c r="K13" i="15"/>
  <c r="K11" i="15"/>
  <c r="K10" i="15"/>
  <c r="K9" i="15"/>
  <c r="K8" i="15" l="1"/>
  <c r="J20" i="38"/>
  <c r="I7" i="38"/>
  <c r="J7" i="38"/>
  <c r="J18" i="38"/>
  <c r="I18" i="38"/>
  <c r="D18" i="8" l="1"/>
  <c r="D13" i="8"/>
  <c r="O13" i="8" s="1"/>
  <c r="O41" i="38" l="1"/>
  <c r="Q41" i="38" s="1"/>
  <c r="O40" i="38"/>
  <c r="Q40" i="38" s="1"/>
  <c r="C41" i="38" l="1"/>
  <c r="C40" i="38"/>
  <c r="B41" i="38"/>
  <c r="B40" i="38"/>
  <c r="A41" i="38"/>
  <c r="A40" i="38"/>
  <c r="D25" i="23"/>
  <c r="G25" i="23" s="1"/>
  <c r="D23" i="23"/>
  <c r="G23" i="23" s="1"/>
  <c r="D21" i="23"/>
  <c r="G21" i="23" s="1"/>
  <c r="D19" i="23"/>
  <c r="G19" i="23" s="1"/>
  <c r="D15" i="23"/>
  <c r="G15" i="23" s="1"/>
  <c r="D13" i="23"/>
  <c r="G13" i="23" s="1"/>
  <c r="I26" i="15" l="1"/>
  <c r="I12" i="15"/>
  <c r="W12" i="15" s="1"/>
  <c r="L42" i="15"/>
  <c r="L41" i="15"/>
  <c r="D17" i="23" l="1"/>
  <c r="G17" i="23" s="1"/>
  <c r="W26" i="15"/>
  <c r="N42" i="15"/>
  <c r="O42" i="15" s="1"/>
  <c r="D41" i="38"/>
  <c r="S41" i="38" s="1"/>
  <c r="N41" i="15"/>
  <c r="O41" i="15" s="1"/>
  <c r="D40" i="38"/>
  <c r="S40" i="38" s="1"/>
  <c r="B8" i="38"/>
  <c r="B9" i="38"/>
  <c r="B10" i="38"/>
  <c r="B11" i="38"/>
  <c r="B12" i="38"/>
  <c r="B13" i="38"/>
  <c r="B14" i="38"/>
  <c r="B15" i="38"/>
  <c r="B16" i="38"/>
  <c r="B17" i="38"/>
  <c r="B18" i="38"/>
  <c r="B19" i="38"/>
  <c r="B20" i="38"/>
  <c r="B21" i="38"/>
  <c r="B22" i="38"/>
  <c r="B23" i="38"/>
  <c r="B24" i="38"/>
  <c r="B25" i="38"/>
  <c r="B26" i="38"/>
  <c r="B27" i="38"/>
  <c r="B28" i="38"/>
  <c r="B29" i="38"/>
  <c r="B30" i="38"/>
  <c r="B31" i="38"/>
  <c r="B32" i="38"/>
  <c r="B33" i="38"/>
  <c r="B34" i="38"/>
  <c r="B35" i="38"/>
  <c r="B36" i="38"/>
  <c r="B37" i="38"/>
  <c r="B38" i="38"/>
  <c r="B39" i="38"/>
  <c r="B7" i="38"/>
  <c r="E31" i="8"/>
  <c r="D31" i="8"/>
  <c r="C32" i="8"/>
  <c r="J32" i="8" s="1"/>
  <c r="C31" i="8"/>
  <c r="J31" i="8" s="1"/>
  <c r="C30" i="8"/>
  <c r="J30" i="8" s="1"/>
  <c r="A2" i="15"/>
  <c r="A2" i="38" s="1" a="1"/>
  <c r="A2" i="38" s="1"/>
  <c r="H4" i="39"/>
  <c r="H7" i="39"/>
  <c r="H13" i="39"/>
  <c r="H18" i="39"/>
  <c r="F4" i="39"/>
  <c r="F5" i="39"/>
  <c r="F6" i="39"/>
  <c r="F7" i="39"/>
  <c r="F8" i="39"/>
  <c r="F9" i="39"/>
  <c r="F10" i="39"/>
  <c r="F11" i="39"/>
  <c r="F12" i="39"/>
  <c r="F13" i="39"/>
  <c r="F14" i="39"/>
  <c r="F15" i="39"/>
  <c r="F16" i="39"/>
  <c r="F17" i="39"/>
  <c r="F18" i="39"/>
  <c r="D4" i="39"/>
  <c r="D5" i="39"/>
  <c r="D8" i="39"/>
  <c r="D9" i="39"/>
  <c r="D10" i="39"/>
  <c r="D12" i="39"/>
  <c r="D14" i="39"/>
  <c r="D16" i="39"/>
  <c r="D17" i="39"/>
  <c r="H3" i="39"/>
  <c r="F3" i="39"/>
  <c r="D3" i="39"/>
  <c r="G4" i="39"/>
  <c r="G5" i="39"/>
  <c r="G6" i="39"/>
  <c r="G7" i="39"/>
  <c r="G8" i="39"/>
  <c r="G9" i="39"/>
  <c r="G10" i="39"/>
  <c r="G11" i="39"/>
  <c r="G12" i="39"/>
  <c r="G13" i="39"/>
  <c r="G14" i="39"/>
  <c r="G15" i="39"/>
  <c r="G16" i="39"/>
  <c r="G17" i="39"/>
  <c r="G18" i="39"/>
  <c r="G3" i="39"/>
  <c r="E4" i="39"/>
  <c r="E5" i="39"/>
  <c r="E6" i="39"/>
  <c r="E7" i="39"/>
  <c r="E8" i="39"/>
  <c r="E9" i="39"/>
  <c r="E10" i="39"/>
  <c r="E11" i="39"/>
  <c r="E12" i="39"/>
  <c r="E13" i="39"/>
  <c r="E14" i="39"/>
  <c r="E15" i="39"/>
  <c r="E16" i="39"/>
  <c r="E17" i="39"/>
  <c r="E18" i="39"/>
  <c r="E3" i="39"/>
  <c r="C4" i="39"/>
  <c r="C5" i="39"/>
  <c r="C6" i="39"/>
  <c r="C7" i="39"/>
  <c r="I7" i="39" s="1"/>
  <c r="C8" i="39"/>
  <c r="I8" i="39" s="1"/>
  <c r="C9" i="39"/>
  <c r="I9" i="39" s="1"/>
  <c r="C10" i="39"/>
  <c r="I10" i="39" s="1"/>
  <c r="C11" i="39"/>
  <c r="C12" i="39"/>
  <c r="I12" i="39" s="1"/>
  <c r="C13" i="39"/>
  <c r="C14" i="39"/>
  <c r="I14" i="39" s="1"/>
  <c r="C15" i="39"/>
  <c r="I15" i="39" s="1"/>
  <c r="C16" i="39"/>
  <c r="C17" i="39"/>
  <c r="C18" i="39"/>
  <c r="C3" i="39"/>
  <c r="J20" i="39"/>
  <c r="I11" i="39"/>
  <c r="A2" i="8" l="1" a="1"/>
  <c r="A2" i="8" s="1"/>
  <c r="A2" i="23"/>
  <c r="J4" i="39"/>
  <c r="F19" i="39"/>
  <c r="I13" i="39"/>
  <c r="G19" i="39"/>
  <c r="I17" i="39"/>
  <c r="I16" i="39"/>
  <c r="I18" i="39"/>
  <c r="I4" i="39"/>
  <c r="I5" i="39"/>
  <c r="I6" i="39"/>
  <c r="I3" i="39"/>
  <c r="E19" i="39"/>
  <c r="J3" i="39"/>
  <c r="C19" i="39"/>
  <c r="I19" i="39" l="1"/>
  <c r="L10" i="15" l="1"/>
  <c r="O7" i="38" l="1"/>
  <c r="F35" i="8"/>
  <c r="F34" i="8"/>
  <c r="M33" i="8"/>
  <c r="F24" i="8"/>
  <c r="F23" i="8"/>
  <c r="F16" i="8"/>
  <c r="M16" i="8" s="1"/>
  <c r="F17" i="8"/>
  <c r="M17" i="8" s="1"/>
  <c r="F18" i="8"/>
  <c r="M18" i="8" s="1"/>
  <c r="F21" i="8"/>
  <c r="F15" i="8"/>
  <c r="M15" i="8" s="1"/>
  <c r="F13" i="8"/>
  <c r="M13" i="8" s="1"/>
  <c r="F12" i="8"/>
  <c r="M12" i="8" s="1"/>
  <c r="L8" i="15"/>
  <c r="J43" i="15"/>
  <c r="M43" i="15"/>
  <c r="I43" i="15"/>
  <c r="L9" i="15"/>
  <c r="N10" i="15"/>
  <c r="O10" i="15" s="1"/>
  <c r="L11" i="15"/>
  <c r="L12" i="15"/>
  <c r="L13" i="15"/>
  <c r="L14" i="15"/>
  <c r="L15" i="15"/>
  <c r="L16" i="15"/>
  <c r="L17" i="15"/>
  <c r="N17" i="15" s="1"/>
  <c r="O17" i="15" s="1"/>
  <c r="L18" i="15"/>
  <c r="L19" i="15"/>
  <c r="N19" i="15" s="1"/>
  <c r="O19" i="15" s="1"/>
  <c r="L20" i="15"/>
  <c r="L21" i="15"/>
  <c r="L22" i="15"/>
  <c r="L30" i="8" s="1"/>
  <c r="L23" i="15"/>
  <c r="L24" i="15"/>
  <c r="E19" i="23" s="1"/>
  <c r="H19" i="23" s="1"/>
  <c r="L26" i="15"/>
  <c r="L27" i="15"/>
  <c r="L28" i="15"/>
  <c r="L29" i="15"/>
  <c r="L30" i="15"/>
  <c r="L31" i="15"/>
  <c r="N31" i="15" s="1"/>
  <c r="O31" i="15" s="1"/>
  <c r="L32" i="15"/>
  <c r="Z32" i="15" s="1"/>
  <c r="L33" i="15"/>
  <c r="L34" i="15"/>
  <c r="L35" i="15"/>
  <c r="L36" i="15"/>
  <c r="N36" i="15" s="1"/>
  <c r="O36" i="15" s="1"/>
  <c r="L37" i="15"/>
  <c r="L38" i="15"/>
  <c r="L39" i="15"/>
  <c r="N39" i="15" s="1"/>
  <c r="O39" i="15" s="1"/>
  <c r="L40" i="15"/>
  <c r="M34" i="8" l="1"/>
  <c r="M20" i="8"/>
  <c r="E25" i="23"/>
  <c r="H25" i="23" s="1"/>
  <c r="L35" i="8"/>
  <c r="Z33" i="15"/>
  <c r="E17" i="23"/>
  <c r="E23" i="23"/>
  <c r="N38" i="15"/>
  <c r="O38" i="15" s="1"/>
  <c r="N34" i="15"/>
  <c r="O34" i="15" s="1"/>
  <c r="N29" i="15"/>
  <c r="O29" i="15" s="1"/>
  <c r="N26" i="15"/>
  <c r="O26" i="15" s="1"/>
  <c r="N13" i="15"/>
  <c r="O13" i="15" s="1"/>
  <c r="N12" i="15"/>
  <c r="O12" i="15" s="1"/>
  <c r="N33" i="15"/>
  <c r="O33" i="15" s="1"/>
  <c r="E21" i="23"/>
  <c r="E15" i="23"/>
  <c r="N32" i="15"/>
  <c r="O32" i="15" s="1"/>
  <c r="E13" i="23"/>
  <c r="N27" i="15"/>
  <c r="O27" i="15" s="1"/>
  <c r="H16" i="39"/>
  <c r="J16" i="39" s="1"/>
  <c r="Q15" i="23" s="1"/>
  <c r="N23" i="15"/>
  <c r="O23" i="15" s="1"/>
  <c r="H6" i="39"/>
  <c r="N9" i="15"/>
  <c r="O9" i="15" s="1"/>
  <c r="H17" i="39"/>
  <c r="J17" i="39" s="1"/>
  <c r="N20" i="15"/>
  <c r="O20" i="15" s="1"/>
  <c r="H9" i="39"/>
  <c r="J9" i="39" s="1"/>
  <c r="N15" i="15"/>
  <c r="O15" i="15" s="1"/>
  <c r="H15" i="39"/>
  <c r="N18" i="15"/>
  <c r="O18" i="15" s="1"/>
  <c r="H8" i="39"/>
  <c r="J8" i="39" s="1"/>
  <c r="N16" i="15"/>
  <c r="O16" i="15" s="1"/>
  <c r="H5" i="39"/>
  <c r="J5" i="39" s="1"/>
  <c r="N14" i="15"/>
  <c r="O14" i="15" s="1"/>
  <c r="H12" i="39"/>
  <c r="J12" i="39" s="1"/>
  <c r="N8" i="15"/>
  <c r="O8" i="15" s="1"/>
  <c r="H11" i="39"/>
  <c r="N24" i="15"/>
  <c r="O24" i="15" s="1"/>
  <c r="D7" i="39"/>
  <c r="J7" i="39" s="1"/>
  <c r="N40" i="15"/>
  <c r="O40" i="15" s="1"/>
  <c r="D6" i="39"/>
  <c r="N37" i="15"/>
  <c r="O37" i="15" s="1"/>
  <c r="D15" i="39"/>
  <c r="N30" i="15"/>
  <c r="O30" i="15" s="1"/>
  <c r="D18" i="39"/>
  <c r="J18" i="39" s="1"/>
  <c r="N28" i="15"/>
  <c r="O28" i="15" s="1"/>
  <c r="D13" i="39"/>
  <c r="J13" i="39" s="1"/>
  <c r="N22" i="15"/>
  <c r="O22" i="15" s="1"/>
  <c r="D11" i="39"/>
  <c r="N35" i="15"/>
  <c r="O35" i="15" s="1"/>
  <c r="N21" i="15"/>
  <c r="O21" i="15" s="1"/>
  <c r="H10" i="39"/>
  <c r="N11" i="15"/>
  <c r="O11" i="15" s="1"/>
  <c r="O8" i="38"/>
  <c r="Q8" i="38" s="1"/>
  <c r="O9" i="38"/>
  <c r="Q9" i="38" s="1"/>
  <c r="O10" i="38"/>
  <c r="Q10" i="38" s="1"/>
  <c r="O11" i="38"/>
  <c r="Q11" i="38" s="1"/>
  <c r="O12" i="38"/>
  <c r="Q12" i="38" s="1"/>
  <c r="O13" i="38"/>
  <c r="Q13" i="38" s="1"/>
  <c r="O14" i="38"/>
  <c r="Q14" i="38" s="1"/>
  <c r="O15" i="38"/>
  <c r="Q15" i="38" s="1"/>
  <c r="O16" i="38"/>
  <c r="Q16" i="38" s="1"/>
  <c r="O17" i="38"/>
  <c r="Q17" i="38" s="1"/>
  <c r="O18" i="38"/>
  <c r="Q18" i="38" s="1"/>
  <c r="O19" i="38"/>
  <c r="Q19" i="38" s="1"/>
  <c r="O20" i="38"/>
  <c r="Q20" i="38" s="1"/>
  <c r="O21" i="38"/>
  <c r="Q21" i="38" s="1"/>
  <c r="O22" i="38"/>
  <c r="Q22" i="38" s="1"/>
  <c r="O23" i="38"/>
  <c r="O24" i="38"/>
  <c r="Q24" i="38" s="1"/>
  <c r="O25" i="38"/>
  <c r="Q25" i="38" s="1"/>
  <c r="O26" i="38"/>
  <c r="Q26" i="38" s="1"/>
  <c r="O27" i="38"/>
  <c r="Q27" i="38" s="1"/>
  <c r="O28" i="38"/>
  <c r="Q28" i="38" s="1"/>
  <c r="O29" i="38"/>
  <c r="Q29" i="38" s="1"/>
  <c r="O30" i="38"/>
  <c r="Q30" i="38" s="1"/>
  <c r="O31" i="38"/>
  <c r="Q31" i="38" s="1"/>
  <c r="O32" i="38"/>
  <c r="Q32" i="38" s="1"/>
  <c r="O33" i="38"/>
  <c r="Q33" i="38" s="1"/>
  <c r="O34" i="38"/>
  <c r="Q34" i="38" s="1"/>
  <c r="O35" i="38"/>
  <c r="Q35" i="38" s="1"/>
  <c r="O36" i="38"/>
  <c r="Q36" i="38" s="1"/>
  <c r="O37" i="38"/>
  <c r="Q37" i="38" s="1"/>
  <c r="O38" i="38"/>
  <c r="Q38" i="38" s="1"/>
  <c r="O39" i="38"/>
  <c r="Q39" i="38" s="1"/>
  <c r="G42" i="38"/>
  <c r="H42" i="38"/>
  <c r="I42" i="38"/>
  <c r="J42" i="38"/>
  <c r="K42" i="38"/>
  <c r="L42" i="38"/>
  <c r="M42" i="38"/>
  <c r="N42" i="38"/>
  <c r="P42" i="38"/>
  <c r="B54" i="8" s="1"/>
  <c r="F42" i="38"/>
  <c r="Q6" i="23" s="1"/>
  <c r="Q7" i="38"/>
  <c r="D8" i="38"/>
  <c r="D9" i="38"/>
  <c r="D10" i="38"/>
  <c r="D11" i="38"/>
  <c r="D12" i="38"/>
  <c r="D13" i="38"/>
  <c r="D14" i="38"/>
  <c r="D15" i="38"/>
  <c r="D16" i="38"/>
  <c r="D17" i="38"/>
  <c r="D18" i="38"/>
  <c r="D19" i="38"/>
  <c r="D20" i="38"/>
  <c r="D21" i="38"/>
  <c r="D22" i="38"/>
  <c r="D23" i="38"/>
  <c r="D25" i="38"/>
  <c r="D26" i="38"/>
  <c r="D27" i="38"/>
  <c r="D28" i="38"/>
  <c r="D29" i="38"/>
  <c r="D30" i="38"/>
  <c r="D31" i="38"/>
  <c r="D32" i="38"/>
  <c r="D33" i="38"/>
  <c r="D34" i="38"/>
  <c r="D35" i="38"/>
  <c r="D36" i="38"/>
  <c r="D37" i="38"/>
  <c r="D38" i="38"/>
  <c r="D39" i="38"/>
  <c r="D7" i="38"/>
  <c r="C8" i="38"/>
  <c r="C9" i="38"/>
  <c r="C10" i="38"/>
  <c r="C11" i="38"/>
  <c r="C12" i="38"/>
  <c r="C13" i="38"/>
  <c r="C14" i="38"/>
  <c r="C15" i="38"/>
  <c r="C16" i="38"/>
  <c r="C17" i="38"/>
  <c r="C18" i="38"/>
  <c r="C19" i="38"/>
  <c r="C20" i="38"/>
  <c r="C21" i="38"/>
  <c r="C22" i="38"/>
  <c r="C23" i="38"/>
  <c r="C24" i="38"/>
  <c r="C25" i="38"/>
  <c r="C26" i="38"/>
  <c r="C27" i="38"/>
  <c r="C28" i="38"/>
  <c r="C29" i="38"/>
  <c r="C30" i="38"/>
  <c r="C31" i="38"/>
  <c r="C32" i="38"/>
  <c r="C33" i="38"/>
  <c r="C34" i="38"/>
  <c r="C35" i="38"/>
  <c r="C36" i="38"/>
  <c r="C37" i="38"/>
  <c r="C38" i="38"/>
  <c r="C39" i="38"/>
  <c r="C7" i="38"/>
  <c r="A8" i="38"/>
  <c r="A9" i="38"/>
  <c r="A10" i="38"/>
  <c r="A11" i="38"/>
  <c r="A12" i="38"/>
  <c r="A13" i="38"/>
  <c r="A14" i="38"/>
  <c r="A15" i="38"/>
  <c r="A16" i="38"/>
  <c r="A17" i="38"/>
  <c r="A18" i="38"/>
  <c r="A19" i="38"/>
  <c r="A20" i="38"/>
  <c r="A21" i="38"/>
  <c r="A22" i="38"/>
  <c r="A23" i="38"/>
  <c r="A24" i="38"/>
  <c r="A25" i="38"/>
  <c r="A26" i="38"/>
  <c r="A27" i="38"/>
  <c r="A28" i="38"/>
  <c r="A29" i="38"/>
  <c r="A30" i="38"/>
  <c r="A31" i="38"/>
  <c r="A32" i="38"/>
  <c r="A33" i="38"/>
  <c r="A34" i="38"/>
  <c r="A35" i="38"/>
  <c r="A36" i="38"/>
  <c r="A37" i="38"/>
  <c r="A38" i="38"/>
  <c r="A39" i="38"/>
  <c r="A7" i="38"/>
  <c r="O7" i="23"/>
  <c r="M35" i="8" l="1"/>
  <c r="H13" i="23"/>
  <c r="H23" i="23"/>
  <c r="F44" i="38"/>
  <c r="J6" i="39"/>
  <c r="H15" i="23" s="1"/>
  <c r="J15" i="39"/>
  <c r="J11" i="39"/>
  <c r="H17" i="23" s="1"/>
  <c r="D19" i="39"/>
  <c r="J10" i="39"/>
  <c r="B55" i="8"/>
  <c r="S19" i="38"/>
  <c r="S11" i="38"/>
  <c r="S18" i="38"/>
  <c r="S10" i="38"/>
  <c r="S25" i="38"/>
  <c r="S16" i="38"/>
  <c r="S8" i="38"/>
  <c r="S12" i="38"/>
  <c r="S35" i="38"/>
  <c r="S27" i="38"/>
  <c r="Q23" i="38"/>
  <c r="Q42" i="38" s="1"/>
  <c r="F43" i="8"/>
  <c r="G43" i="8" s="1"/>
  <c r="C49" i="8"/>
  <c r="S20" i="38"/>
  <c r="S17" i="38"/>
  <c r="S9" i="38"/>
  <c r="S39" i="38"/>
  <c r="O42" i="38"/>
  <c r="S37" i="38"/>
  <c r="S29" i="38"/>
  <c r="S21" i="38"/>
  <c r="S13" i="38"/>
  <c r="S14" i="38"/>
  <c r="S33" i="38"/>
  <c r="S31" i="38"/>
  <c r="S15" i="38"/>
  <c r="S22" i="38"/>
  <c r="S26" i="38"/>
  <c r="S28" i="38"/>
  <c r="S30" i="38"/>
  <c r="S32" i="38"/>
  <c r="S34" i="38"/>
  <c r="S36" i="38"/>
  <c r="S38" i="38"/>
  <c r="S7" i="38"/>
  <c r="M16" i="23"/>
  <c r="P16" i="23" s="1"/>
  <c r="M13" i="23"/>
  <c r="P13" i="23" s="1"/>
  <c r="F22" i="8"/>
  <c r="E22" i="8"/>
  <c r="D22" i="8"/>
  <c r="C22" i="8"/>
  <c r="J22" i="8" s="1"/>
  <c r="C14" i="8"/>
  <c r="J14" i="8" s="1"/>
  <c r="M44" i="15" l="1"/>
  <c r="M22" i="8"/>
  <c r="M54" i="8"/>
  <c r="H21" i="23"/>
  <c r="F42" i="8"/>
  <c r="G42" i="8" s="1"/>
  <c r="R39" i="38"/>
  <c r="R40" i="38"/>
  <c r="R41" i="38"/>
  <c r="C48" i="8"/>
  <c r="C50" i="8" s="1"/>
  <c r="R8" i="38"/>
  <c r="R9" i="38"/>
  <c r="R27" i="38"/>
  <c r="R13" i="38"/>
  <c r="O43" i="38"/>
  <c r="B49" i="8"/>
  <c r="R17" i="38"/>
  <c r="R26" i="38"/>
  <c r="R35" i="38"/>
  <c r="R21" i="38"/>
  <c r="R34" i="38"/>
  <c r="R7" i="38"/>
  <c r="R29" i="38"/>
  <c r="R23" i="38"/>
  <c r="R16" i="38"/>
  <c r="R25" i="38"/>
  <c r="R22" i="38"/>
  <c r="R30" i="38"/>
  <c r="R37" i="38"/>
  <c r="S23" i="38"/>
  <c r="R24" i="38"/>
  <c r="R33" i="38"/>
  <c r="R11" i="38"/>
  <c r="R12" i="38"/>
  <c r="R14" i="38"/>
  <c r="R32" i="38"/>
  <c r="R10" i="38"/>
  <c r="R20" i="38"/>
  <c r="R15" i="38"/>
  <c r="R19" i="38"/>
  <c r="R28" i="38"/>
  <c r="R31" i="38"/>
  <c r="R38" i="38"/>
  <c r="R18" i="38"/>
  <c r="R36" i="38"/>
  <c r="N43" i="38"/>
  <c r="M43" i="38"/>
  <c r="G43" i="38"/>
  <c r="H43" i="38"/>
  <c r="P43" i="38"/>
  <c r="L43" i="38"/>
  <c r="I43" i="38"/>
  <c r="Q43" i="38"/>
  <c r="J43" i="38"/>
  <c r="F43" i="38"/>
  <c r="K43" i="38"/>
  <c r="C51" i="8" l="1"/>
  <c r="D49" i="8"/>
  <c r="R42" i="38"/>
  <c r="O15" i="23" l="1"/>
  <c r="O6" i="23"/>
  <c r="F25" i="23"/>
  <c r="F23" i="23"/>
  <c r="F21" i="23"/>
  <c r="F19" i="23"/>
  <c r="F17" i="23"/>
  <c r="F15" i="23"/>
  <c r="F13" i="23"/>
  <c r="E30" i="8"/>
  <c r="G13" i="8"/>
  <c r="G15" i="8"/>
  <c r="G16" i="8"/>
  <c r="G17" i="8"/>
  <c r="G18" i="8"/>
  <c r="G19" i="8"/>
  <c r="G20" i="8"/>
  <c r="G21" i="8"/>
  <c r="G23" i="8"/>
  <c r="G24" i="8"/>
  <c r="G33" i="8"/>
  <c r="H33" i="8" s="1"/>
  <c r="G34" i="8"/>
  <c r="G35" i="8"/>
  <c r="G12" i="8"/>
  <c r="D30" i="8"/>
  <c r="F30" i="8" l="1"/>
  <c r="F31" i="8"/>
  <c r="M31" i="8" s="1"/>
  <c r="E9" i="23"/>
  <c r="H9" i="23" s="1"/>
  <c r="D9" i="23"/>
  <c r="G9" i="23" s="1"/>
  <c r="E7" i="23"/>
  <c r="D7" i="23"/>
  <c r="G7" i="23" s="1"/>
  <c r="D21" i="39" l="1"/>
  <c r="M30" i="8"/>
  <c r="F21" i="39"/>
  <c r="B56" i="8"/>
  <c r="P44" i="38"/>
  <c r="F9" i="23"/>
  <c r="F7" i="23"/>
  <c r="B57" i="8" l="1"/>
  <c r="B59" i="8" s="1"/>
  <c r="B60" i="8"/>
  <c r="N16" i="23"/>
  <c r="E44" i="8"/>
  <c r="H35" i="8"/>
  <c r="H34" i="8"/>
  <c r="D29" i="8"/>
  <c r="D36" i="8" s="1"/>
  <c r="J44" i="15" s="1"/>
  <c r="C29" i="8"/>
  <c r="J29" i="8" s="1"/>
  <c r="H24" i="8"/>
  <c r="H23" i="8"/>
  <c r="B43" i="8"/>
  <c r="J43" i="8" s="1"/>
  <c r="H21" i="8"/>
  <c r="H20" i="8"/>
  <c r="H19" i="8"/>
  <c r="H18" i="8"/>
  <c r="H17" i="8"/>
  <c r="H16" i="8"/>
  <c r="H15" i="8"/>
  <c r="F14" i="8"/>
  <c r="M14" i="8" s="1"/>
  <c r="E14" i="8"/>
  <c r="D14" i="8"/>
  <c r="H13" i="8"/>
  <c r="H12" i="8"/>
  <c r="F11" i="8"/>
  <c r="M11" i="8" s="1"/>
  <c r="E11" i="8"/>
  <c r="D11" i="8"/>
  <c r="C11" i="8"/>
  <c r="J11" i="8" s="1"/>
  <c r="M60" i="8" l="1"/>
  <c r="C36" i="8"/>
  <c r="E46" i="8" s="1"/>
  <c r="D38" i="8"/>
  <c r="G14" i="8"/>
  <c r="H14" i="8" s="1"/>
  <c r="O13" i="23"/>
  <c r="O16" i="23"/>
  <c r="G22" i="8"/>
  <c r="H22" i="8" s="1"/>
  <c r="C43" i="8"/>
  <c r="D43" i="8" s="1"/>
  <c r="G11" i="8"/>
  <c r="H11" i="8" s="1"/>
  <c r="G30" i="8"/>
  <c r="H30" i="8" s="1"/>
  <c r="D10" i="8"/>
  <c r="D9" i="8" s="1"/>
  <c r="E10" i="8"/>
  <c r="E9" i="8" s="1"/>
  <c r="C10" i="8"/>
  <c r="J10" i="8" s="1"/>
  <c r="F10" i="8"/>
  <c r="M10" i="8" s="1"/>
  <c r="C38" i="8" l="1"/>
  <c r="J36" i="8"/>
  <c r="I44" i="15"/>
  <c r="E8" i="8"/>
  <c r="E25" i="8" s="1"/>
  <c r="D8" i="8"/>
  <c r="D25" i="8" s="1"/>
  <c r="F9" i="8"/>
  <c r="C9" i="8"/>
  <c r="G10" i="8"/>
  <c r="H10" i="8" s="1"/>
  <c r="D6" i="23" l="1"/>
  <c r="G6" i="23" s="1"/>
  <c r="J9" i="8"/>
  <c r="D37" i="8"/>
  <c r="O25" i="8"/>
  <c r="M9" i="8"/>
  <c r="F8" i="8"/>
  <c r="H77" i="36" s="1"/>
  <c r="I77" i="36" s="1"/>
  <c r="E6" i="23"/>
  <c r="F44" i="8"/>
  <c r="G9" i="8"/>
  <c r="H9" i="8" s="1"/>
  <c r="C8" i="8"/>
  <c r="D8" i="23"/>
  <c r="G31" i="8"/>
  <c r="H31" i="8" s="1"/>
  <c r="D10" i="23" l="1"/>
  <c r="D16" i="23" s="1"/>
  <c r="G16" i="23" s="1"/>
  <c r="G8" i="23"/>
  <c r="E8" i="23"/>
  <c r="E10" i="23" s="1"/>
  <c r="F10" i="23" s="1"/>
  <c r="H6" i="23"/>
  <c r="G44" i="8"/>
  <c r="B42" i="8"/>
  <c r="J8" i="8"/>
  <c r="B48" i="8"/>
  <c r="O44" i="38"/>
  <c r="F25" i="8"/>
  <c r="C25" i="8"/>
  <c r="C42" i="8"/>
  <c r="C44" i="8" s="1"/>
  <c r="N8" i="23"/>
  <c r="D14" i="23"/>
  <c r="G14" i="23" s="1"/>
  <c r="D22" i="23"/>
  <c r="G22" i="23" s="1"/>
  <c r="D26" i="23"/>
  <c r="G26" i="23" s="1"/>
  <c r="D18" i="23"/>
  <c r="G18" i="23" s="1"/>
  <c r="F6" i="23"/>
  <c r="G8" i="8"/>
  <c r="H8" i="8" s="1"/>
  <c r="D24" i="23"/>
  <c r="G24" i="23" s="1"/>
  <c r="M8" i="23"/>
  <c r="C37" i="8" l="1"/>
  <c r="J25" i="8"/>
  <c r="B44" i="8"/>
  <c r="B46" i="8" s="1"/>
  <c r="J42" i="8"/>
  <c r="F8" i="23"/>
  <c r="H79" i="36"/>
  <c r="I79" i="36" s="1"/>
  <c r="N9" i="23"/>
  <c r="M9" i="23"/>
  <c r="P8" i="23"/>
  <c r="D20" i="23"/>
  <c r="G20" i="23" s="1"/>
  <c r="G10" i="23"/>
  <c r="B50" i="8"/>
  <c r="D50" i="8" s="1"/>
  <c r="B51" i="8"/>
  <c r="C46" i="8"/>
  <c r="I21" i="8"/>
  <c r="Q45" i="38"/>
  <c r="P45" i="38" s="1"/>
  <c r="I16" i="8"/>
  <c r="I17" i="8"/>
  <c r="I12" i="8"/>
  <c r="I9" i="8"/>
  <c r="I15" i="8"/>
  <c r="I13" i="8"/>
  <c r="I24" i="8"/>
  <c r="I25" i="8"/>
  <c r="I20" i="8"/>
  <c r="I19" i="8"/>
  <c r="I11" i="8"/>
  <c r="I8" i="8"/>
  <c r="I22" i="8"/>
  <c r="I14" i="8"/>
  <c r="M14" i="23"/>
  <c r="P14" i="23" s="1"/>
  <c r="I10" i="8"/>
  <c r="I18" i="8"/>
  <c r="I23" i="8"/>
  <c r="N14" i="23"/>
  <c r="O8" i="23"/>
  <c r="D48" i="8"/>
  <c r="D51" i="8" s="1"/>
  <c r="G25" i="8"/>
  <c r="H25" i="8" s="1"/>
  <c r="D42" i="8"/>
  <c r="E22" i="23"/>
  <c r="F22" i="23" s="1"/>
  <c r="E18" i="23"/>
  <c r="F18" i="23" s="1"/>
  <c r="E24" i="23"/>
  <c r="F24" i="23" s="1"/>
  <c r="E14" i="23"/>
  <c r="F14" i="23" s="1"/>
  <c r="E26" i="23"/>
  <c r="F26" i="23" s="1"/>
  <c r="E16" i="23"/>
  <c r="F16" i="23" s="1"/>
  <c r="E20" i="23"/>
  <c r="D44" i="8" l="1"/>
  <c r="F20" i="23"/>
  <c r="O14" i="23"/>
  <c r="K43" i="15" l="1"/>
  <c r="E32" i="8"/>
  <c r="F32" i="8" s="1"/>
  <c r="L25" i="15"/>
  <c r="H14" i="39" l="1"/>
  <c r="J14" i="39" s="1"/>
  <c r="J19" i="39" s="1"/>
  <c r="K14" i="39" s="1"/>
  <c r="L32" i="8"/>
  <c r="L29" i="8" s="1"/>
  <c r="N25" i="15"/>
  <c r="O25" i="15" s="1"/>
  <c r="F29" i="8"/>
  <c r="G32" i="8"/>
  <c r="H32" i="8" s="1"/>
  <c r="E29" i="8"/>
  <c r="E36" i="8" s="1"/>
  <c r="L43" i="15"/>
  <c r="Z25" i="15"/>
  <c r="D24" i="38"/>
  <c r="H19" i="39" l="1"/>
  <c r="H21" i="39" s="1"/>
  <c r="M32" i="8"/>
  <c r="J21" i="39"/>
  <c r="K15" i="39"/>
  <c r="K7" i="39"/>
  <c r="K4" i="39"/>
  <c r="K5" i="39"/>
  <c r="K16" i="39"/>
  <c r="K3" i="39"/>
  <c r="K10" i="39"/>
  <c r="K18" i="39"/>
  <c r="K9" i="39"/>
  <c r="K17" i="39"/>
  <c r="K13" i="39"/>
  <c r="K8" i="39"/>
  <c r="K12" i="39"/>
  <c r="K11" i="39"/>
  <c r="K6" i="39"/>
  <c r="N43" i="15"/>
  <c r="E38" i="8"/>
  <c r="E37" i="8"/>
  <c r="S24" i="38"/>
  <c r="D42" i="38"/>
  <c r="G29" i="8"/>
  <c r="H29" i="8" s="1"/>
  <c r="F36" i="8"/>
  <c r="K44" i="15"/>
  <c r="M29" i="8" l="1"/>
  <c r="F38" i="8"/>
  <c r="N44" i="15"/>
  <c r="I29" i="8"/>
  <c r="F46" i="8"/>
  <c r="K19" i="39"/>
  <c r="O43" i="15"/>
  <c r="S42" i="38"/>
  <c r="D44" i="38"/>
  <c r="I33" i="8"/>
  <c r="I35" i="8"/>
  <c r="I30" i="8"/>
  <c r="F37" i="8"/>
  <c r="I36" i="8"/>
  <c r="I34" i="8"/>
  <c r="I31" i="8"/>
  <c r="G36" i="8"/>
  <c r="G38" i="8" s="1"/>
  <c r="I32" i="8"/>
  <c r="L44" i="15"/>
  <c r="H36" i="8" l="1"/>
  <c r="G37" i="8"/>
  <c r="O44" i="1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Milhomem Brito Menezes</author>
    <author>Flavia Rios Costa</author>
    <author>Tania Mara Chaves Daldegan</author>
  </authors>
  <commentList>
    <comment ref="A6" authorId="0" shapeId="0" xr:uid="{00000000-0006-0000-0300-000001000000}">
      <text>
        <r>
          <rPr>
            <sz val="12"/>
            <color indexed="81"/>
            <rFont val="Calibri"/>
            <family val="2"/>
            <scheme val="minor"/>
          </rPr>
          <t>Área ou setor responsável pela Atividade ou Projeto</t>
        </r>
      </text>
    </comment>
    <comment ref="B6" authorId="0" shapeId="0" xr:uid="{00000000-0006-0000-0300-000002000000}">
      <text>
        <r>
          <rPr>
            <sz val="12"/>
            <color indexed="81"/>
            <rFont val="Calibri"/>
            <family val="2"/>
            <scheme val="minor"/>
          </rPr>
          <t>P= Projeto
A= Atividade
PE= Projeto Específico</t>
        </r>
      </text>
    </comment>
    <comment ref="C6" authorId="1" shapeId="0" xr:uid="{00000000-0006-0000-0300-000003000000}">
      <text>
        <r>
          <rPr>
            <sz val="11"/>
            <color indexed="81"/>
            <rFont val="Tahoma"/>
            <family val="2"/>
          </rPr>
          <t>AT = Projeto ou Atividade Atual (já existente na Programação 2023)
N = Projeto ou Atividade Nova (não existente na Programação 2023)
R = Projeto ou Atividade Reformulada (alterada)
E = Projeto ou Atividade Excluída
C = Projeto concluído</t>
        </r>
      </text>
    </comment>
    <comment ref="D6" authorId="0" shapeId="0" xr:uid="{00000000-0006-0000-0300-000004000000}">
      <text>
        <r>
          <rPr>
            <sz val="12"/>
            <color indexed="81"/>
            <rFont val="Calibri"/>
            <family val="2"/>
            <scheme val="minor"/>
          </rPr>
          <t>Nome do Projeto ou Atividade do Plano de Ação</t>
        </r>
      </text>
    </comment>
    <comment ref="E6" authorId="0" shapeId="0" xr:uid="{00000000-0006-0000-0300-000005000000}">
      <text>
        <r>
          <rPr>
            <sz val="12"/>
            <color indexed="81"/>
            <rFont val="Calibri"/>
            <family val="2"/>
            <scheme val="minor"/>
          </rPr>
          <t>É a motivação geral e a síntese dos efeitos que se deseja produzir.</t>
        </r>
      </text>
    </comment>
    <comment ref="F6" authorId="0" shapeId="0" xr:uid="{00000000-0006-0000-0300-000006000000}">
      <text>
        <r>
          <rPr>
            <sz val="12"/>
            <color indexed="81"/>
            <rFont val="Calibri"/>
            <family val="2"/>
            <scheme val="minor"/>
          </rPr>
          <t>Selecionar uma das opções nas células abaixo que estão de acordo com os objetivos estratégicos do Mapa Estratégico no âmbito das perspectivas da Sociedade, Processos Internos, Alavancadores e Pessoas e Infraestrutura.</t>
        </r>
      </text>
    </comment>
    <comment ref="G6" authorId="0" shapeId="0" xr:uid="{00000000-0006-0000-0300-000007000000}">
      <text>
        <r>
          <rPr>
            <sz val="12"/>
            <color indexed="81"/>
            <rFont val="Calibri"/>
            <family val="2"/>
            <scheme val="minor"/>
          </rPr>
          <t>Ao firmar o compromisso de incluir os ODS à sua estratégia, o CAU abre caminho para melhorar sua atuação e atender aos anseios da sociedade por projetos e serviços alinhados aos princípios da sustentabilidade. Neste contexto, torna-se facultativo o enquadramento dos projetos e atividades nos ODS em 2023.</t>
        </r>
      </text>
    </comment>
    <comment ref="H6" authorId="0" shapeId="0" xr:uid="{00000000-0006-0000-0300-000008000000}">
      <text>
        <r>
          <rPr>
            <sz val="12"/>
            <color indexed="81"/>
            <rFont val="Calibri"/>
            <family val="2"/>
            <scheme val="minor"/>
          </rPr>
          <t>São os efeitos que devem ser produzidos com a execução do projeto/atividade, dentro do seu horizonte do tempo. Refletem o objetivo geral do projeto e representam o seu desdobramento em metas mensuráveis. 
Resultado = Transformação + Indicador + Meta + Prazo, conforme descritivo no Anexo 4</t>
        </r>
      </text>
    </comment>
    <comment ref="I6" authorId="0" shapeId="0" xr:uid="{00000000-0006-0000-0300-000009000000}">
      <text>
        <r>
          <rPr>
            <sz val="12"/>
            <color indexed="81"/>
            <rFont val="Calibri"/>
            <family val="2"/>
            <scheme val="minor"/>
          </rPr>
          <t>Os valores devem ser iguais do Plano de Ação da Programação 2023 aprovado.
Caso tenha feito a Reprogramação Extraordinária 2023, considerar os valores aprovados nessa reprogramação.</t>
        </r>
      </text>
    </comment>
    <comment ref="J6" authorId="0" shapeId="0" xr:uid="{00000000-0006-0000-0300-00000A000000}">
      <text>
        <r>
          <rPr>
            <sz val="12"/>
            <color indexed="81"/>
            <rFont val="Calibri"/>
            <family val="2"/>
            <scheme val="minor"/>
          </rPr>
          <t>Valores  dos Projetos/Atividades da Reprogramação 2023.</t>
        </r>
      </text>
    </comment>
    <comment ref="L6" authorId="0" shapeId="0" xr:uid="{00000000-0006-0000-0300-00000B000000}">
      <text>
        <r>
          <rPr>
            <sz val="12"/>
            <color indexed="81"/>
            <rFont val="Calibri"/>
            <family val="2"/>
            <scheme val="minor"/>
          </rPr>
          <t>Valores  dos Projetos/Atividades do Plano de Ação da Reprogramação 2023 = Execução+Projetado</t>
        </r>
      </text>
    </comment>
    <comment ref="M6" authorId="1" shapeId="0" xr:uid="{00000000-0006-0000-0300-00000C000000}">
      <text>
        <r>
          <rPr>
            <sz val="12"/>
            <color indexed="81"/>
            <rFont val="Calibri"/>
            <family val="2"/>
            <scheme val="minor"/>
          </rPr>
          <t xml:space="preserve"> Resolução nº 200- Art. 9º "Fica autorizada a utilização de superávit financeiro acumulado até o exercício imediatamente anterior, apurado no balanço patrimonial, em despesas de capital e em projetos específicos, com seus respectivos planos de trabalho, de caráter não continuado, não configurado como atividade, em ações cuja realização seja suportada por despesas de natureza corrente".</t>
        </r>
      </text>
    </comment>
    <comment ref="J7" authorId="2" shapeId="0" xr:uid="{00000000-0006-0000-0300-00000D000000}">
      <text>
        <r>
          <rPr>
            <sz val="12"/>
            <color indexed="81"/>
            <rFont val="Calibri"/>
            <family val="2"/>
            <scheme val="minor"/>
          </rPr>
          <t xml:space="preserve">O valor do "Executado 2023": retirar do SISCONT. NET, no caminho "Centro de Custos&gt; Relatórios&gt; Demonstrativo de empenhos/pagamentos"; período de  01/01/2023 até 31/05/2023; a coluna "LIQUIDAÇÕES".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Flavia Rios Costa</author>
    <author>Gustavo Milhomem Brito Menezes</author>
    <author>Tania Mara Chaves Daldegan</author>
  </authors>
  <commentList>
    <comment ref="C5" authorId="0" shapeId="0" xr:uid="{00000000-0006-0000-0400-000001000000}">
      <text>
        <r>
          <rPr>
            <sz val="12"/>
            <color indexed="81"/>
            <rFont val="Calibri"/>
            <family val="2"/>
            <scheme val="minor"/>
          </rPr>
          <t>Os valores devem ser iguais do Plano de Ação da Programação 2023 aprovado.
Caso tenha feito a Reprogramação Extraordinária 2023, considerar os valores aprovados nessa reprogramação.</t>
        </r>
      </text>
    </comment>
    <comment ref="D6" authorId="1" shapeId="0" xr:uid="{00000000-0006-0000-0400-000002000000}">
      <text>
        <r>
          <rPr>
            <sz val="12"/>
            <color indexed="81"/>
            <rFont val="Calibri"/>
            <family val="2"/>
            <scheme val="minor"/>
          </rPr>
          <t>O valor das "Receitas realizadas 2023": retirar do SISCONT. NET, no caminho: 
"Contabilidade&gt; Relatórios-&gt;Consolidado&gt;comparativo da receita"; 
período de 01/01/2023 até 31/05/2023; na coluna "Arrec.Período"</t>
        </r>
      </text>
    </comment>
    <comment ref="E6" authorId="1" shapeId="0" xr:uid="{00000000-0006-0000-0400-000003000000}">
      <text>
        <r>
          <rPr>
            <sz val="12"/>
            <color indexed="81"/>
            <rFont val="Calibri"/>
            <family val="2"/>
            <scheme val="minor"/>
          </rPr>
          <t>De acordo com as ações e metas a serem executadas em 2023.</t>
        </r>
      </text>
    </comment>
    <comment ref="F6" authorId="1" shapeId="0" xr:uid="{00000000-0006-0000-0400-000004000000}">
      <text>
        <r>
          <rPr>
            <sz val="12"/>
            <color indexed="81"/>
            <rFont val="Calibri"/>
            <family val="2"/>
            <scheme val="minor"/>
          </rPr>
          <t>Observar os valores que estão nas Diretrizes da Reprogramação 2023 para Anuidades, RRT, Taxas e Multas.</t>
        </r>
      </text>
    </comment>
    <comment ref="A18" authorId="0" shapeId="0" xr:uid="{00000000-0006-0000-0400-000005000000}">
      <text>
        <r>
          <rPr>
            <sz val="12"/>
            <color indexed="81"/>
            <rFont val="Calibri"/>
            <family val="2"/>
            <scheme val="minor"/>
          </rPr>
          <t>Considerar taxas e multas todos os valores relacionados com: Taxa Expediente RRT extemporâneo; Taxa Selic; Documento de fiscalização; Multa e mora de anuidades; Certidão de acervo técnico com atestado; Registro de direito autoral; Multa ética; Multa ausência na eleição, conforme informações do Siccau/Siscont.net.</t>
        </r>
      </text>
    </comment>
    <comment ref="C26" authorId="0" shapeId="0" xr:uid="{00000000-0006-0000-0400-000006000000}">
      <text>
        <r>
          <rPr>
            <sz val="12"/>
            <color indexed="81"/>
            <rFont val="Calibri"/>
            <family val="2"/>
            <scheme val="minor"/>
          </rPr>
          <t>Os valores devem ser iguais do Plano de Ação da Programação 2023 aprovado.
Caso tenha feito a Reprogramação Extraordinária 2023, considerar os valores aprovados nessa reprogramação.</t>
        </r>
      </text>
    </comment>
    <comment ref="D27" authorId="1" shapeId="0" xr:uid="{00000000-0006-0000-0400-000007000000}">
      <text>
        <r>
          <rPr>
            <sz val="12"/>
            <color indexed="81"/>
            <rFont val="Calibri"/>
            <family val="2"/>
            <scheme val="minor"/>
          </rPr>
          <t>O valor das "Receitas realizadas 2023": retirar do SISCONT. NET, no caminho: 
"Contabilidade&gt; Relatórios-&gt;Consolidado&gt;comparativo da receita"; 
período de 01/01/2023 até 31/05/2023; na coluna "Arrec.Período"</t>
        </r>
      </text>
    </comment>
    <comment ref="E27" authorId="1" shapeId="0" xr:uid="{00000000-0006-0000-0400-000008000000}">
      <text>
        <r>
          <rPr>
            <sz val="12"/>
            <color indexed="81"/>
            <rFont val="Calibri"/>
            <family val="2"/>
            <scheme val="minor"/>
          </rPr>
          <t>De acordo com as ações e metas a serem executadas em 2023.</t>
        </r>
      </text>
    </comment>
    <comment ref="F27" authorId="1" shapeId="0" xr:uid="{00000000-0006-0000-0400-000009000000}">
      <text>
        <r>
          <rPr>
            <sz val="12"/>
            <color indexed="81"/>
            <rFont val="Calibri"/>
            <family val="2"/>
            <scheme val="minor"/>
          </rPr>
          <t>Observar os valores que estão nas Diretrizes da Reprogramação 2023 para Anuidades, RRT, Taxas e Multas.</t>
        </r>
      </text>
    </comment>
    <comment ref="A34" authorId="0" shapeId="0" xr:uid="{00000000-0006-0000-0400-00000A000000}">
      <text>
        <r>
          <rPr>
            <b/>
            <sz val="11"/>
            <color indexed="81"/>
            <rFont val="Tahoma"/>
            <family val="2"/>
          </rPr>
          <t>Apenas o Valor do APORTE DO CSC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1" authorId="2" shapeId="0" xr:uid="{00000000-0006-0000-0400-00000B000000}">
      <text>
        <r>
          <rPr>
            <b/>
            <sz val="14"/>
            <color indexed="81"/>
            <rFont val="Segoe UI"/>
            <family val="2"/>
          </rPr>
          <t>Valores conforme o anexo "Fontes e Aplicações" do Parecer da Programação 2022</t>
        </r>
        <r>
          <rPr>
            <b/>
            <sz val="9"/>
            <color indexed="81"/>
            <rFont val="Segoe UI"/>
            <family val="2"/>
          </rPr>
          <t xml:space="preserve">
</t>
        </r>
      </text>
    </comment>
    <comment ref="A52" authorId="0" shapeId="0" xr:uid="{00000000-0006-0000-0400-00000C000000}">
      <text>
        <r>
          <rPr>
            <sz val="13"/>
            <color indexed="81"/>
            <rFont val="Tahoma"/>
            <family val="2"/>
          </rPr>
          <t>Resolução 200- art 9º "Fica autorizada a utilização de superávit financeiro acumulado até o exercício imediatamente anterior, apurado no balanço patrimonial, em despesas de capital e em projetos específicos, com seus respectivos planos de trabalho, de caráter não continuado, não configurado como atividade, em ações cuja realização seja suportada por despesas de natureza corrente."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Milhomem Brito Menezes</author>
    <author>Tania Mara Chaves Daldegan</author>
  </authors>
  <commentList>
    <comment ref="B6" authorId="0" shapeId="0" xr:uid="{00000000-0006-0000-0500-000001000000}">
      <text>
        <r>
          <rPr>
            <b/>
            <sz val="11"/>
            <color indexed="81"/>
            <rFont val="Tahoma"/>
            <family val="2"/>
          </rPr>
          <t xml:space="preserve">Vinculada as Receitas de Arrecadação do Anexo 1.1 - Usos e Fonte COM os valores das anuidades de exercícios anteriores.
</t>
        </r>
      </text>
    </comment>
    <comment ref="B7" authorId="0" shapeId="0" xr:uid="{00000000-0006-0000-0500-000002000000}">
      <text>
        <r>
          <rPr>
            <b/>
            <sz val="13"/>
            <color indexed="81"/>
            <rFont val="Tahoma"/>
            <family val="2"/>
          </rPr>
          <t>Apenas para os Cau Básicos. O valor total deve ser igual do que consta nas Diretrizes da Reprogramação 2021.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7" authorId="1" shapeId="0" xr:uid="{00000000-0006-0000-0500-000003000000}">
      <text>
        <r>
          <rPr>
            <b/>
            <sz val="14"/>
            <color indexed="81"/>
            <rFont val="Tahoma"/>
            <family val="2"/>
          </rPr>
          <t>Detalhar o valor no campo das justificativas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" authorId="0" shapeId="0" xr:uid="{00000000-0006-0000-0500-000004000000}">
      <text>
        <r>
          <rPr>
            <b/>
            <sz val="9"/>
            <color indexed="81"/>
            <rFont val="Tahoma"/>
            <family val="2"/>
          </rPr>
          <t>= Receita de Arrecadação + Recurso do Fundo de Apoio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" authorId="0" shapeId="0" xr:uid="{00000000-0006-0000-0500-000005000000}">
      <text>
        <r>
          <rPr>
            <b/>
            <sz val="13"/>
            <color indexed="81"/>
            <rFont val="Tahoma"/>
            <family val="2"/>
          </rPr>
          <t>Vinculada as Receitas de Arrecadação do Anexo 1.</t>
        </r>
      </text>
    </comment>
    <comment ref="F13" authorId="1" shapeId="0" xr:uid="{00000000-0006-0000-0500-000006000000}">
      <text>
        <r>
          <rPr>
            <b/>
            <sz val="9"/>
            <color indexed="81"/>
            <rFont val="Segoe UI"/>
            <family val="2"/>
          </rPr>
          <t>É percentual (%)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14" authorId="1" shapeId="0" xr:uid="{00000000-0006-0000-0500-000007000000}">
      <text>
        <r>
          <rPr>
            <b/>
            <sz val="9"/>
            <color indexed="81"/>
            <rFont val="Segoe UI"/>
            <family val="2"/>
          </rPr>
          <t>É ponto percentual (pp)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15" authorId="1" shapeId="0" xr:uid="{00000000-0006-0000-0500-000008000000}">
      <text>
        <r>
          <rPr>
            <b/>
            <sz val="9"/>
            <color indexed="81"/>
            <rFont val="Segoe UI"/>
            <family val="2"/>
          </rPr>
          <t>É percentual (%)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16" authorId="1" shapeId="0" xr:uid="{00000000-0006-0000-0500-000009000000}">
      <text>
        <r>
          <rPr>
            <b/>
            <sz val="9"/>
            <color indexed="81"/>
            <rFont val="Segoe UI"/>
            <family val="2"/>
          </rPr>
          <t>É ponto percentual (pp)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17" authorId="1" shapeId="0" xr:uid="{00000000-0006-0000-0500-00000A000000}">
      <text>
        <r>
          <rPr>
            <b/>
            <sz val="9"/>
            <color indexed="81"/>
            <rFont val="Segoe UI"/>
            <family val="2"/>
          </rPr>
          <t>É percentual (%)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18" authorId="1" shapeId="0" xr:uid="{00000000-0006-0000-0500-00000B000000}">
      <text>
        <r>
          <rPr>
            <b/>
            <sz val="9"/>
            <color indexed="81"/>
            <rFont val="Segoe UI"/>
            <family val="2"/>
          </rPr>
          <t>É ponto percentual (pp)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19" authorId="1" shapeId="0" xr:uid="{00000000-0006-0000-0500-00000C000000}">
      <text>
        <r>
          <rPr>
            <b/>
            <sz val="9"/>
            <color indexed="81"/>
            <rFont val="Segoe UI"/>
            <family val="2"/>
          </rPr>
          <t>É percentual (%)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20" authorId="1" shapeId="0" xr:uid="{00000000-0006-0000-0500-00000D000000}">
      <text>
        <r>
          <rPr>
            <b/>
            <sz val="9"/>
            <color indexed="81"/>
            <rFont val="Segoe UI"/>
            <family val="2"/>
          </rPr>
          <t>É ponto percentual (pp)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21" authorId="1" shapeId="0" xr:uid="{00000000-0006-0000-0500-00000E000000}">
      <text>
        <r>
          <rPr>
            <b/>
            <sz val="9"/>
            <color indexed="81"/>
            <rFont val="Segoe UI"/>
            <family val="2"/>
          </rPr>
          <t>É percentual (%)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22" authorId="1" shapeId="0" xr:uid="{00000000-0006-0000-0500-00000F000000}">
      <text>
        <r>
          <rPr>
            <b/>
            <sz val="9"/>
            <color indexed="81"/>
            <rFont val="Segoe UI"/>
            <family val="2"/>
          </rPr>
          <t>É ponto percentual (pp)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23" authorId="1" shapeId="0" xr:uid="{00000000-0006-0000-0500-000010000000}">
      <text>
        <r>
          <rPr>
            <b/>
            <sz val="9"/>
            <color indexed="81"/>
            <rFont val="Segoe UI"/>
            <family val="2"/>
          </rPr>
          <t>É percentual (%)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24" authorId="1" shapeId="0" xr:uid="{00000000-0006-0000-0500-000011000000}">
      <text>
        <r>
          <rPr>
            <b/>
            <sz val="9"/>
            <color indexed="81"/>
            <rFont val="Segoe UI"/>
            <family val="2"/>
          </rPr>
          <t>É ponto percentual (pp)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25" authorId="1" shapeId="0" xr:uid="{00000000-0006-0000-0500-000012000000}">
      <text>
        <r>
          <rPr>
            <b/>
            <sz val="9"/>
            <color indexed="81"/>
            <rFont val="Segoe UI"/>
            <family val="2"/>
          </rPr>
          <t>É percentual (%)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26" authorId="1" shapeId="0" xr:uid="{00000000-0006-0000-0500-000013000000}">
      <text>
        <r>
          <rPr>
            <b/>
            <sz val="9"/>
            <color indexed="81"/>
            <rFont val="Segoe UI"/>
            <family val="2"/>
          </rPr>
          <t>É ponto percentual (pp)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Milhomem Brito Menezes</author>
    <author>Tania Mara Chaves Daldegan</author>
  </authors>
  <commentList>
    <comment ref="B5" authorId="0" shapeId="0" xr:uid="{00000000-0006-0000-0600-000001000000}">
      <text>
        <r>
          <rPr>
            <sz val="12"/>
            <color indexed="81"/>
            <rFont val="Calibri"/>
            <family val="2"/>
            <scheme val="minor"/>
          </rPr>
          <t>P= Projeto
A= Atividade
PE= Projeto Específico</t>
        </r>
      </text>
    </comment>
    <comment ref="L5" authorId="1" shapeId="0" xr:uid="{00000000-0006-0000-0600-000002000000}">
      <text>
        <r>
          <rPr>
            <b/>
            <sz val="9"/>
            <color indexed="81"/>
            <rFont val="Segoe UI"/>
            <family val="2"/>
          </rPr>
          <t>Aporte ao Fundo de apoio
Aporte o CSC
Patrocínio
Convênios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Marcos Cristino de Oliveira</author>
    <author>Tania Mara Chaves Daldegan</author>
    <author>Marcos Cristino</author>
  </authors>
  <commentList>
    <comment ref="AH2" authorId="0" shapeId="0" xr:uid="{00000000-0006-0000-0A00-000001000000}">
      <text>
        <r>
          <rPr>
            <b/>
            <sz val="9"/>
            <color indexed="81"/>
            <rFont val="Segoe UI"/>
            <charset val="1"/>
          </rPr>
          <t>Marcos Cristino de Oliveira:</t>
        </r>
        <r>
          <rPr>
            <sz val="9"/>
            <color indexed="81"/>
            <rFont val="Segoe UI"/>
            <charset val="1"/>
          </rPr>
          <t xml:space="preserve">
Fonte:
https://censo2022.ibge.gov.br/panorama/
04/07/2023</t>
        </r>
      </text>
    </comment>
    <comment ref="M3" authorId="1" shapeId="0" xr:uid="{00000000-0006-0000-0A00-000002000000}">
      <text>
        <r>
          <rPr>
            <b/>
            <sz val="9"/>
            <color indexed="81"/>
            <rFont val="Segoe UI"/>
            <family val="2"/>
          </rPr>
          <t xml:space="preserve">Os dados foram retirados da Programação 2023 - </t>
        </r>
      </text>
    </comment>
    <comment ref="AK15" authorId="2" shapeId="0" xr:uid="{00000000-0006-0000-0A00-000003000000}">
      <text>
        <r>
          <rPr>
            <sz val="9"/>
            <color indexed="81"/>
            <rFont val="Segoe UI"/>
            <family val="2"/>
          </rPr>
          <t>Valor apenas do Ressarcimento de Taxas Bancárias</t>
        </r>
      </text>
    </comment>
    <comment ref="AJ27" authorId="1" shapeId="0" xr:uid="{00000000-0006-0000-0A00-000004000000}">
      <text>
        <r>
          <rPr>
            <b/>
            <sz val="9"/>
            <color indexed="81"/>
            <rFont val="Segoe UI"/>
            <family val="2"/>
          </rPr>
          <t>Fonte https://www.ibge.gov.br/estatisticas/sociais/populacao/22827-censo-demografico-2022.html -  baixado em 14.06.2023)</t>
        </r>
      </text>
    </comment>
  </commentList>
</comments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<sst xmlns="http://schemas.openxmlformats.org/spreadsheetml/2006/main" count="1229" uniqueCount="836">
  <si>
    <t>Total</t>
  </si>
  <si>
    <t>Pessoal</t>
  </si>
  <si>
    <t>Imobilizado</t>
  </si>
  <si>
    <t>Variação</t>
  </si>
  <si>
    <t>Unidade Responsável</t>
  </si>
  <si>
    <t>Denominação</t>
  </si>
  <si>
    <t>TOTAL</t>
  </si>
  <si>
    <t>Especificação</t>
  </si>
  <si>
    <t>I - FONTES</t>
  </si>
  <si>
    <t>1. Receitas Correntes</t>
  </si>
  <si>
    <t>1.1.1 Anuidades</t>
  </si>
  <si>
    <t>1.1.1.1 Pessoa Física</t>
  </si>
  <si>
    <t>1.1.1.2 Pessoa Jurídica</t>
  </si>
  <si>
    <t>1.2 Aplicações Financeiras</t>
  </si>
  <si>
    <t>1.4 Fundo de Apoio</t>
  </si>
  <si>
    <t>2 Receitas de Capital</t>
  </si>
  <si>
    <t>2.1 Saldos de Exercícios Anteriores (Superávit Financeiro)</t>
  </si>
  <si>
    <t xml:space="preserve"> I – TOTAL</t>
  </si>
  <si>
    <t>II.1 Programação Operacional</t>
  </si>
  <si>
    <t>Projetos</t>
  </si>
  <si>
    <t>II.2 Aportes ao Fundo de Apoio</t>
  </si>
  <si>
    <t>II – TOTAL</t>
  </si>
  <si>
    <t>VARIAÇÃO (I-II)</t>
  </si>
  <si>
    <t>Valores em R$ 1,00</t>
  </si>
  <si>
    <t xml:space="preserve">Variação                                                      </t>
  </si>
  <si>
    <t>II.4 Reserva de Contingência</t>
  </si>
  <si>
    <t>Impactar significativamente o planejamento e a gestão do território</t>
  </si>
  <si>
    <t>Tornar a fiscalização um vetor de melhoria do exercício da Arquitetura e Urbanismo</t>
  </si>
  <si>
    <t>Assegurar a eficácia no atendimento e no relacionamento com os arquitetos e urbanistas e a sociedade</t>
  </si>
  <si>
    <t>Estimular o conhecimento, o uso de processos criativos e a difusão das melhores práticas em Arquitetura e Urbanismo</t>
  </si>
  <si>
    <t>Garantir a participação dos arquitetos e urbanistas no planejamento territorial e na gestão urbana</t>
  </si>
  <si>
    <t>Estimular a produção da arquitetura e urbanismo como política de Estado</t>
  </si>
  <si>
    <t>Assegurar a eficácia no relacionamento e comunicação com a sociedade</t>
  </si>
  <si>
    <t>Promover o exercício ético e qualificado da profissão</t>
  </si>
  <si>
    <t>Fomentar o acesso da sociedade à Arquitetura e Urbanismo</t>
  </si>
  <si>
    <t>Assegurar a sustentabilidade financeira</t>
  </si>
  <si>
    <t>Aprimorar e inovar os processos e as ações</t>
  </si>
  <si>
    <t>Desenvolver competências de dirigentes e colaboradores</t>
  </si>
  <si>
    <t>Construir cultura organizacional adequada à estratégia</t>
  </si>
  <si>
    <t>Ter sistemas de informação e infraestrutura que viabilizem a gestão e o atendimento dos arquitetos e urbanistas e a sociedade</t>
  </si>
  <si>
    <t>Indicadores Institucionais e de Resultado (agrupados por objetivo estratégico) - Metas</t>
  </si>
  <si>
    <t>Objetivo Estratégico Principal</t>
  </si>
  <si>
    <t>MAPA ESTRATÉGICO CAU/UF</t>
  </si>
  <si>
    <t>Denominação (Projeto/Atividade)</t>
  </si>
  <si>
    <t>Material de Consumo</t>
  </si>
  <si>
    <t>Serviços de Terceiros</t>
  </si>
  <si>
    <t>Encargos Diversos</t>
  </si>
  <si>
    <t>Soma</t>
  </si>
  <si>
    <t>% Part.</t>
  </si>
  <si>
    <t>Diárias</t>
  </si>
  <si>
    <t>Passagens</t>
  </si>
  <si>
    <t>Serviços Prestados</t>
  </si>
  <si>
    <t>TOTAL GERAL</t>
  </si>
  <si>
    <t>BASE DE CÁLCULO</t>
  </si>
  <si>
    <t>APLICAÇÕES DE RECURSOS</t>
  </si>
  <si>
    <t xml:space="preserve">FOLHA DE PAGAMENTO </t>
  </si>
  <si>
    <t>2. Recursos do fundo de apoio (CAU Básico)</t>
  </si>
  <si>
    <t>Valor</t>
  </si>
  <si>
    <t xml:space="preserve">% </t>
  </si>
  <si>
    <t>Variação (%)</t>
  </si>
  <si>
    <t>LIMITES</t>
  </si>
  <si>
    <t xml:space="preserve">Objetivo Geral </t>
  </si>
  <si>
    <t>1.1.3 Taxas e Multas</t>
  </si>
  <si>
    <t xml:space="preserve">Fórmula </t>
  </si>
  <si>
    <t xml:space="preserve">Periodicidade </t>
  </si>
  <si>
    <t>B- INDICADORES DE RESULTADO</t>
  </si>
  <si>
    <t>A- INDICADORES INSTITUCIONAIS</t>
  </si>
  <si>
    <t xml:space="preserve">II.3 Aporte ao CSC </t>
  </si>
  <si>
    <t>Atividades</t>
  </si>
  <si>
    <t>Orientação: As células em cinza estão vinculadas com fórmulas, não devem ser preenchidas.</t>
  </si>
  <si>
    <t>B. Valor total das rescisões contratuais, auxílio alimentação, auxílio transporte, plano de saúde e demais benefícios.</t>
  </si>
  <si>
    <t>3. Soma (1+2)</t>
  </si>
  <si>
    <t>C. Receitas Correntes</t>
  </si>
  <si>
    <t>4. Aportes ao Fundo de Apoio</t>
  </si>
  <si>
    <t>Pessoal e Encargos</t>
  </si>
  <si>
    <t>A. Pessoal e Encargos (Valores totais)</t>
  </si>
  <si>
    <t>1. QUADRO GERAL</t>
  </si>
  <si>
    <t>Resultado</t>
  </si>
  <si>
    <t>1.1.3 RRT</t>
  </si>
  <si>
    <t xml:space="preserve">BASE DE CÁLCULO </t>
  </si>
  <si>
    <t xml:space="preserve">Variação </t>
  </si>
  <si>
    <t xml:space="preserve">CATEGORIA ECONÔMICA </t>
  </si>
  <si>
    <t>Corrente</t>
  </si>
  <si>
    <t xml:space="preserve">Capital </t>
  </si>
  <si>
    <t xml:space="preserve">FONTES </t>
  </si>
  <si>
    <t>USOS</t>
  </si>
  <si>
    <t>Variação % 
(C=B/A)</t>
  </si>
  <si>
    <t>5.  Receita da Arrecadação Líquida (RAL = 3 - 4)</t>
  </si>
  <si>
    <t>Anual</t>
  </si>
  <si>
    <t>Trimestral</t>
  </si>
  <si>
    <t>1.1.1.1.2 Anuidade Exercícios anteriores</t>
  </si>
  <si>
    <t>1.1.1.2.2 Anuidade Exercícios anteriores</t>
  </si>
  <si>
    <t>4) Atentar as orientações em amarelo em cada aba da Planilha .</t>
  </si>
  <si>
    <t>1.1 Receitas de Arrecadação Total</t>
  </si>
  <si>
    <t>x 100</t>
  </si>
  <si>
    <t>Mensal</t>
  </si>
  <si>
    <t>Semestral</t>
  </si>
  <si>
    <t>número de usuários satisfeitos com a solução da demanda</t>
  </si>
  <si>
    <t>número de usuários que responderam a pesquisa</t>
  </si>
  <si>
    <t>total de notícias sobre questões de Arquitetura e Urbanismo</t>
  </si>
  <si>
    <t>total de inserções do CAU na mídia</t>
  </si>
  <si>
    <t>passivo circulante</t>
  </si>
  <si>
    <t>total de profissionais ativos</t>
  </si>
  <si>
    <t>total de empresas inadimplentes</t>
  </si>
  <si>
    <t>horas totais de treinamento</t>
  </si>
  <si>
    <t>número total de colaboradores e dirigentes</t>
  </si>
  <si>
    <t>total de usuários internos que participaram da pesquisa</t>
  </si>
  <si>
    <t>total de usuários externos que participaram da pesquisa</t>
  </si>
  <si>
    <t>01 - Erradicação da pobreza</t>
  </si>
  <si>
    <t>05 - Igualdade de gênero</t>
  </si>
  <si>
    <t>08 - Trabalho decente e crescimento econômico</t>
  </si>
  <si>
    <t>10 - Redução das desigualdades</t>
  </si>
  <si>
    <t>11 - Cidades e comunidades sustentáveis</t>
  </si>
  <si>
    <t>14 - Vida na água</t>
  </si>
  <si>
    <t>16 - Paz, justiça e instituições eficazes</t>
  </si>
  <si>
    <t>17 - Parcerias e meios de implementação</t>
  </si>
  <si>
    <t>02 - Fome zero e agricultura sustentável</t>
  </si>
  <si>
    <t>03 - Saúde e bem-estar</t>
  </si>
  <si>
    <t>04 - Educação de qualidade</t>
  </si>
  <si>
    <t>06 - Água limpa e saneamento</t>
  </si>
  <si>
    <t>09 - Inovação infraestrutura</t>
  </si>
  <si>
    <t>12 - Consumo e produção responsáveis</t>
  </si>
  <si>
    <t>13 - Ação contra a mudança global do clima</t>
  </si>
  <si>
    <t>15 - Vida terrestre</t>
  </si>
  <si>
    <t xml:space="preserve">Correntes </t>
  </si>
  <si>
    <t>Capital</t>
  </si>
  <si>
    <t>I - Receitas</t>
  </si>
  <si>
    <t>II - Despesas</t>
  </si>
  <si>
    <t>Assegurar a eficácia no atendimento e no relacionamento com os Arquitetos e Urbanistas e a Sociedade</t>
  </si>
  <si>
    <t>Auto-Atendimento</t>
  </si>
  <si>
    <t>Qualificação dos Canais de Atendimento</t>
  </si>
  <si>
    <t>Ações Locais em Mídia</t>
  </si>
  <si>
    <t>Ações Nacionais em Mídia</t>
  </si>
  <si>
    <t>Atualização do Portal da Transparência</t>
  </si>
  <si>
    <t>Estimular a produção da Arquitetura e Urbanismo como política de Estado</t>
  </si>
  <si>
    <t>Representação em Instâncias Públicas</t>
  </si>
  <si>
    <t>Câmaras Temáticas</t>
  </si>
  <si>
    <t>Editais de Patrocínio</t>
  </si>
  <si>
    <t>Capacitação em ATHIS</t>
  </si>
  <si>
    <t>Cooperação Técnica para ATHIS</t>
  </si>
  <si>
    <t>Influenciar as diretrizes do ensino de Arquitetura e Urbanismo e sua formação continuada</t>
  </si>
  <si>
    <t>Ações de Melhoria da Qualidade do Ensino</t>
  </si>
  <si>
    <t>CAU nas Escolas</t>
  </si>
  <si>
    <t>Audiências de Conciliação</t>
  </si>
  <si>
    <t>Melhoria de Processo Ético</t>
  </si>
  <si>
    <t>Palestras e campanhas sobre Aspectos Éticos</t>
  </si>
  <si>
    <t>Cooperação Técnica para Fiscalização</t>
  </si>
  <si>
    <t>Plataforma de Georreferenciamento</t>
  </si>
  <si>
    <t>Fiscalização Orientativa</t>
  </si>
  <si>
    <t>Fiscalização em Obras</t>
  </si>
  <si>
    <t>Serviços de Terceiros- Diárias</t>
  </si>
  <si>
    <t>Serviços de Terceiros- Passagens</t>
  </si>
  <si>
    <t>Serviços de Terceiros- Serviços Prestados</t>
  </si>
  <si>
    <t>Serviços de Terceiros- Aluguéis e Encargos</t>
  </si>
  <si>
    <t>Transferências Correntes</t>
  </si>
  <si>
    <t xml:space="preserve">Objetivos de Desenvolvimento Sustentável </t>
  </si>
  <si>
    <t>2.2 Outras Receitas de Capital</t>
  </si>
  <si>
    <t>1.3 Outras Receitas Correntes</t>
  </si>
  <si>
    <t>Objetivos de Desenvolvimento Sustentável (Facultativo)</t>
  </si>
  <si>
    <t>Não se aplica</t>
  </si>
  <si>
    <t>Atendimento Eletrônico</t>
  </si>
  <si>
    <t>Valorizar a Arquitetura e Urbanismo</t>
  </si>
  <si>
    <t>Garantir a participação dos Arquitetos e Urbanistas no planejamento territorial e na gestão urbana</t>
  </si>
  <si>
    <t xml:space="preserve">Reserva de Contingência </t>
  </si>
  <si>
    <t>P/A/ PE</t>
  </si>
  <si>
    <t>LEGENDA: P = PROJETO/ A = ATIVIDADE/ PE: PROJETO ESPECÍFICO / FP = FUNDO DE APOIO</t>
  </si>
  <si>
    <t xml:space="preserve">Part. % (G)           </t>
  </si>
  <si>
    <t>Valores
 (E=D-A)</t>
  </si>
  <si>
    <t>%       
 (F=E/A)</t>
  </si>
  <si>
    <t>RRT mínima</t>
  </si>
  <si>
    <t>número de usuários internos satisfeitos com a tecnologia</t>
  </si>
  <si>
    <t>número de usuários externos satisfeitos com a tecnologia</t>
  </si>
  <si>
    <t>ativo circulante</t>
  </si>
  <si>
    <t>total de profissionais inadimplentes</t>
  </si>
  <si>
    <t>número de processos éticos concluídos em um ano</t>
  </si>
  <si>
    <t>Variação
(%)</t>
  </si>
  <si>
    <t>Projetos Específicos</t>
  </si>
  <si>
    <t>A. Saldo IV = (I-II-III)</t>
  </si>
  <si>
    <t>2. COMENTÁRIOS/JUSTIFICATIVAS:</t>
  </si>
  <si>
    <t xml:space="preserve">Deliberações importantes </t>
  </si>
  <si>
    <t>Variação % 
(F=E/D)</t>
  </si>
  <si>
    <t>Orientações de Preenchimento dos Elementos de Despesas:</t>
  </si>
  <si>
    <t xml:space="preserve">RESOLUÇÃO N° 200, DE 15 DE DEZEMBRO DE 2020
</t>
  </si>
  <si>
    <t>2) Não alterar cores, fórmulas e formatações no modelo.</t>
  </si>
  <si>
    <t>número de municípios  da UF que possuem  Plano Diretor</t>
  </si>
  <si>
    <t>total de municípios da UF</t>
  </si>
  <si>
    <t xml:space="preserve">quantidade de ações de fiscalização realizadas pelo CAU/UF no mês </t>
  </si>
  <si>
    <t xml:space="preserve">Mensal </t>
  </si>
  <si>
    <t xml:space="preserve">número de ações de fiscalização previstas no Plano de Ação aprovado </t>
  </si>
  <si>
    <t>quantidade de obras e serviços regulares</t>
  </si>
  <si>
    <t>quantidade de obras e serviços fiscalizados pelo CAU/UF</t>
  </si>
  <si>
    <t>número total de RRT registrados (pagos) por mês</t>
  </si>
  <si>
    <t xml:space="preserve"> total de profissionais ativos </t>
  </si>
  <si>
    <t>quantidade de denúncias atendidas</t>
  </si>
  <si>
    <t>número de denúncias recebidas</t>
  </si>
  <si>
    <t>número de processos de fiscalização concluídos no semestre</t>
  </si>
  <si>
    <t xml:space="preserve"> número total de processos de fiscalização em aberto no ano</t>
  </si>
  <si>
    <t>quantidade de termos de cooperação técnica e parcerias para racionalização da ações de fiscalização</t>
  </si>
  <si>
    <t>número de termos e parcerias previstos no Plano de Ação</t>
  </si>
  <si>
    <t>quantidade mensal de ações de fiscalização realizada</t>
  </si>
  <si>
    <t>número de horas de fiscalização mensal</t>
  </si>
  <si>
    <t>quantidade obras e serviços com RRT</t>
  </si>
  <si>
    <t>quantidade de obras e serviços regularizados</t>
  </si>
  <si>
    <t>quantidade de obras e serviços regularizados com RRT</t>
  </si>
  <si>
    <t>quantidade obras e serviços regularizados</t>
  </si>
  <si>
    <t>Número de solicitações tratadas no prazo estipulado pela Carta de Serviços no trimestre</t>
  </si>
  <si>
    <t>Número de solicitações abertas no trimestre</t>
  </si>
  <si>
    <t xml:space="preserve">número de reclamações recebidas pela Ouvidoria  no trimestre                                                                                                               </t>
  </si>
  <si>
    <t xml:space="preserve">número total de atendimentos pela Ouvidoria no trimestre                                   </t>
  </si>
  <si>
    <t>valor orçamentário investido (executado) em patrocínios no ano</t>
  </si>
  <si>
    <t xml:space="preserve">Anual
</t>
  </si>
  <si>
    <t>valor orçamentário destinado (orçado) em patrocínios no ano</t>
  </si>
  <si>
    <t>Quantidade de participantes presentes</t>
  </si>
  <si>
    <t>quantidade de participantes previstas no Plano de Ação Aprovado</t>
  </si>
  <si>
    <t>custos totais dos eventos</t>
  </si>
  <si>
    <t>quantidade de participantes presentes</t>
  </si>
  <si>
    <t>número de pessoas atingida pelo material produzido e distribuído</t>
  </si>
  <si>
    <t>quantidade de material informativo produzido</t>
  </si>
  <si>
    <t>número de ações com participação do CAU/UF</t>
  </si>
  <si>
    <t>número de municípios da UF que passaram a aplicar a Lei de Assistência Técnica</t>
  </si>
  <si>
    <t>quantidade de acessos qualificados (visitantes únicos) a página do CAU/UF</t>
  </si>
  <si>
    <t>número de inserções na mídia em geral onde o CAU/UF foi citado</t>
  </si>
  <si>
    <t>número de inserções positivas do CAU/UF na mídia</t>
  </si>
  <si>
    <t>Número de  visualizações das publicações do CAU/UF das redes sociais</t>
  </si>
  <si>
    <t>quantidade de visualizações das publicações do CAU/UF das redes sociais</t>
  </si>
  <si>
    <t>número de escolas da UF com a disciplina de ética profissional na grade curricular</t>
  </si>
  <si>
    <t>número total de escolas da UF</t>
  </si>
  <si>
    <t>número total de processos éticos abertos</t>
  </si>
  <si>
    <t>tempo médio de conclusão de processos éticos</t>
  </si>
  <si>
    <t>tempo máximo para conclusão de processo</t>
  </si>
  <si>
    <t>total de RRT na UF</t>
  </si>
  <si>
    <t>população total da UF/1000 habitantes</t>
  </si>
  <si>
    <t>RRT Social</t>
  </si>
  <si>
    <t>receita corrente</t>
  </si>
  <si>
    <t xml:space="preserve">Semestral 
</t>
  </si>
  <si>
    <t>custo total de pessoal</t>
  </si>
  <si>
    <t xml:space="preserve">Semestral </t>
  </si>
  <si>
    <t xml:space="preserve">total de profissionais ativos </t>
  </si>
  <si>
    <t xml:space="preserve">total de empresas ativas </t>
  </si>
  <si>
    <t>número de processos mapeados</t>
  </si>
  <si>
    <t xml:space="preserve">total de processos existentes </t>
  </si>
  <si>
    <t>número de processos normatizados</t>
  </si>
  <si>
    <t>total de processos existentes</t>
  </si>
  <si>
    <t>número de processos automatizados</t>
  </si>
  <si>
    <t>Número de ações executadas</t>
  </si>
  <si>
    <t xml:space="preserve">quantidade de ações executadas voltadas à cultura organizacional e estratégia                                                                                                                  </t>
  </si>
  <si>
    <t>Índice de cumprimento das metas do Plano de Ação (%)</t>
  </si>
  <si>
    <t>Execução Jan/Maio
 (B)</t>
  </si>
  <si>
    <t>Projetado Jun/Dez
 (C )</t>
  </si>
  <si>
    <t>COMENTÁRIOS/JUSTIFICATIVAS:</t>
  </si>
  <si>
    <t xml:space="preserve">Superávit Financeiro </t>
  </si>
  <si>
    <t>Atenção: É vedada a utilização dos recursos do superávit financeiro para remuneração de pessoal efetivo e de ocupantes de empregos de livre provimento e demissão, bem como os encargos sociais inerentes.</t>
  </si>
  <si>
    <t xml:space="preserve">1. Receita de Arrecadação Total </t>
  </si>
  <si>
    <t>Orientação:  As células sinalizadas, em cinza, são fórmulas e não devem ser modificadas.</t>
  </si>
  <si>
    <t xml:space="preserve">Reserva de 
Contingência </t>
  </si>
  <si>
    <t>9) Preencher o anexo 4  apenas para os projetos/atividades novos e/ou que tiveram alterações/ajustes .</t>
  </si>
  <si>
    <t>P</t>
  </si>
  <si>
    <t>A</t>
  </si>
  <si>
    <t>PE</t>
  </si>
  <si>
    <t>AT</t>
  </si>
  <si>
    <t>N</t>
  </si>
  <si>
    <t>R</t>
  </si>
  <si>
    <t>E</t>
  </si>
  <si>
    <t>C</t>
  </si>
  <si>
    <t>X</t>
  </si>
  <si>
    <t>Resoluções nº  204 e 211/2021, que alterou a Resolução nº 193/2020</t>
  </si>
  <si>
    <t>Obs.: Os Indicadores devem ser vinculados aos objetivos estratégicos priorizados no Mapa Estratégico do CAU/UF, ou seja, os indicadores dos objetivos estratégicos escolhidos no Mapa Estratégico devem ser mensurados. Vale ressaltar que estes indicadores foram validados no Seminário de Planejamento realizado em Fev/2020).</t>
  </si>
  <si>
    <t>Orientação: As células sinalizadas, em cinza, são fórmulas e não devem ser modificadas. Verificar os comentários colocando o cursor na célula correspondente, no cabeçalho. Caso seja necessário aumentar o número de linhas, favor verificar a continuidade das fórmulas. 
O enquadramento aos Objetivos de Desenvolvimento Sustentável (ODS) é facultativo. Cabe ressaltar que o aporte ao CSC e o custeio da Participação do Presidente nas Plenárias Ampliadas, para os CAU/Básicos, devem ser custeados pelo Fundo de Apoio, obedecendo as Resoluções 119 e 126 e a Proposta 02/2021 - CG-FA.</t>
  </si>
  <si>
    <t>% 
(G= F/A *100)</t>
  </si>
  <si>
    <t>Orientação:  Na proposta da Reprogramação 2022, para as receitas  de Arrecadação - anuidades de PF e PJ  (do exercício 2022 e dos exercícios anteriores), RRT, taxas e multas, devem ser considerados os valores constantes das Diretrizes da Reprogramação 2022. As receitas de exercícios anteriores devem ser projetadas no mínimo de 10% do valor total a ser arrecadado por cada CAU/UF.  As células sinalizadas, em cinza, são fórmulas e não devem ser modificadas. Verificar os comentários colocando o cursor na célula correspondente, no cabeçalho.</t>
  </si>
  <si>
    <t>II a- Percentual de utilização para Despesas de capital</t>
  </si>
  <si>
    <t>II - Despesas de capital (Valor)</t>
  </si>
  <si>
    <t>III - Projetos específicos (Valor)</t>
  </si>
  <si>
    <t>Número da Deliberação que aprova PE</t>
  </si>
  <si>
    <t>07 - Energia limpa e acessível </t>
  </si>
  <si>
    <t>Programação 2023 
(A)</t>
  </si>
  <si>
    <t>Reprogramação 2023</t>
  </si>
  <si>
    <t>Reprogramação 2023
 (D)</t>
  </si>
  <si>
    <t xml:space="preserve">Variação (2023/2023) </t>
  </si>
  <si>
    <t>Orientações para preenchimento do Modelo do Plano de Ação - Reprogramação 2023</t>
  </si>
  <si>
    <r>
      <t xml:space="preserve">Orientação: Selecionar os objetivos estratégicos prioritários em âmbito local trabalhados em 2023.                    Os objetivos estratégicos em âmbito nacional, são : </t>
    </r>
    <r>
      <rPr>
        <sz val="12"/>
        <color rgb="FFFF0000"/>
        <rFont val="Calibri"/>
        <family val="2"/>
        <scheme val="minor"/>
      </rPr>
      <t xml:space="preserve">Fiscalização,  AU como Política de Estado e Acesso da Sociedade à AU, </t>
    </r>
    <r>
      <rPr>
        <b/>
        <sz val="12"/>
        <color theme="1"/>
        <rFont val="Calibri"/>
        <family val="2"/>
        <scheme val="minor"/>
      </rPr>
      <t>devem ser obrigatoriamente trabalhados.</t>
    </r>
  </si>
  <si>
    <t>Meta
Programação
2023</t>
  </si>
  <si>
    <t>Meta
Reprogramação
2023</t>
  </si>
  <si>
    <t>Anexo 1 - Demonstrativo de Usos e Fontes - Reprogramação 2023</t>
  </si>
  <si>
    <t>Programação 2023
 (A)</t>
  </si>
  <si>
    <t>Programação 
2023
(A)</t>
  </si>
  <si>
    <t>Reprogramação 
2023
(B)</t>
  </si>
  <si>
    <t>Programação 
2023
(D)</t>
  </si>
  <si>
    <t>Reprogramação 
2023
(E)</t>
  </si>
  <si>
    <t>Anexo 2 - Limites de Aplicação dos Recursos Estratégicos - Reprogramação Ordinária de 2023</t>
  </si>
  <si>
    <t>Programação
 2023</t>
  </si>
  <si>
    <t>Reprogramação
 2023</t>
  </si>
  <si>
    <t>Anexo 3- Aplicações por Projeto/Atividade - por Elemento de Despesa (Consolidado) - Reprogramação 2023</t>
  </si>
  <si>
    <t>COMENTÁRIOS/JUSTIFICATIVAS - quando da flexibilização da aplicação de recursos mínimos e máximos do limite estratégico de Capacitação do Plano de Ação e Orçamento de 2023</t>
  </si>
  <si>
    <t>OBS 2: Os órgãos deliberativos dos CAU/UF poderão, mediante as justificativas próprias, Flexibilizar a aplicação de recursos mínimos e máximos na Programação do Plano de Ação e Orçamento de 2023, nos seguintes itens de despesas:
Capacitação – mínimo de 2% e máximo de 4% da folha de pagamento.
Apresentar justificativa no campo abaixo.</t>
  </si>
  <si>
    <t>PLANO DE AÇÃO - REPROGRAMAÇÃO 2023</t>
  </si>
  <si>
    <t>III b Percentual de utilização para PE</t>
  </si>
  <si>
    <t>A. Percentual de utilização do Superávit 2022</t>
  </si>
  <si>
    <t xml:space="preserve">A custear com Recursos do
Superávit Financeiro
 (E) </t>
  </si>
  <si>
    <t xml:space="preserve"> Valor
(F=D-A)</t>
  </si>
  <si>
    <r>
      <t>Os itens de custo devem ser:
•</t>
    </r>
    <r>
      <rPr>
        <b/>
        <sz val="12"/>
        <color theme="1"/>
        <rFont val="Arial"/>
        <family val="2"/>
      </rPr>
      <t xml:space="preserve"> Pessoal (Salários, Encargos e Benefícios) </t>
    </r>
    <r>
      <rPr>
        <sz val="12"/>
        <color theme="1"/>
        <rFont val="Arial"/>
        <family val="2"/>
      </rPr>
      <t xml:space="preserve">
a) Pessoal e Encargos:  compreende salários; gratificações; 13º salário; férias; 1/3 férias, abono e horas extras; INSS; FGTS e PIS; vale transporte, auxílio alimentação, plano de saúde e outros benefícios.
b) Diárias – compreende diárias de funcionários com vínculo empregatício com o Conselho.
</t>
    </r>
    <r>
      <rPr>
        <b/>
        <sz val="12"/>
        <color theme="1"/>
        <rFont val="Arial"/>
        <family val="2"/>
      </rPr>
      <t>• Material de Consumo</t>
    </r>
    <r>
      <rPr>
        <sz val="12"/>
        <color theme="1"/>
        <rFont val="Arial"/>
        <family val="2"/>
      </rPr>
      <t xml:space="preserve"> – compreende material de expediente; informática; e outros materiais de consumo que não sejam classificados como material permanente. 
</t>
    </r>
    <r>
      <rPr>
        <b/>
        <sz val="12"/>
        <color theme="1"/>
        <rFont val="Arial"/>
        <family val="2"/>
      </rPr>
      <t xml:space="preserve">• Serviços de Terceiros: </t>
    </r>
    <r>
      <rPr>
        <sz val="12"/>
        <color theme="1"/>
        <rFont val="Arial"/>
        <family val="2"/>
      </rPr>
      <t xml:space="preserve">
a) Diárias – compreende diárias do presidente, de conselheiros e de convidados.
b) Passagens – compreende passagens de funcionários, presidente, conselheiros, e convidados.
c) Serviços Prestados (PF e PJ) – compreende todo serviço prestado por pessoa jurídica como: consultorias; serviços de comunicação e divulgação; manutenção de sistemas informatizados; locação de bens móveis e imóveis, condomínios, reparos e conservação de bens móveis e imóveis; serviços de água e energia elétrica; correios; telecomunicações e outras despesas correntes não classificáveis nos itens anteriores e  remunerações de serviços prestados por pessoa física; remuneração de estagiários, e remuneração de menores aprendizes.
</t>
    </r>
    <r>
      <rPr>
        <b/>
        <sz val="12"/>
        <color theme="1"/>
        <rFont val="Arial"/>
        <family val="2"/>
      </rPr>
      <t>. Transferências Correntes</t>
    </r>
    <r>
      <rPr>
        <sz val="12"/>
        <color theme="1"/>
        <rFont val="Arial"/>
        <family val="2"/>
      </rPr>
      <t xml:space="preserve">: compreende os repasses ao Fundo de Apoio; os repasses ao Centro de Serviço Compartilhado - CSC; convênios, acordos, ajuda as entidades e patrocínios.
</t>
    </r>
    <r>
      <rPr>
        <b/>
        <sz val="12"/>
        <color theme="1"/>
        <rFont val="Arial"/>
        <family val="2"/>
      </rPr>
      <t xml:space="preserve">. Reserva de Contingência: </t>
    </r>
    <r>
      <rPr>
        <sz val="12"/>
        <color theme="1"/>
        <rFont val="Arial"/>
        <family val="2"/>
      </rPr>
      <t xml:space="preserve">compreende as despesas não previstas no plano de ação.
</t>
    </r>
    <r>
      <rPr>
        <b/>
        <sz val="12"/>
        <color theme="1"/>
        <rFont val="Arial"/>
        <family val="2"/>
      </rPr>
      <t>. Encargos Diversos –</t>
    </r>
    <r>
      <rPr>
        <sz val="12"/>
        <color theme="1"/>
        <rFont val="Arial"/>
        <family val="2"/>
      </rPr>
      <t xml:space="preserve"> compreende as taxas bancárias; impostos e taxas diversas; despesas judiciais; e outros encargos.
</t>
    </r>
    <r>
      <rPr>
        <b/>
        <sz val="12"/>
        <color theme="1"/>
        <rFont val="Arial"/>
        <family val="2"/>
      </rPr>
      <t xml:space="preserve">. Imobilizado </t>
    </r>
    <r>
      <rPr>
        <sz val="12"/>
        <color theme="1"/>
        <rFont val="Arial"/>
        <family val="2"/>
      </rPr>
      <t xml:space="preserve">– compreende os investimentos como: aquisição de equipamentos e materiais permanentes; aquisição de imóveis; e outros investimentos.
</t>
    </r>
  </si>
  <si>
    <r>
      <t xml:space="preserve">Fiscalização
</t>
    </r>
    <r>
      <rPr>
        <b/>
        <sz val="12"/>
        <color rgb="FF008080"/>
        <rFont val="Calibri"/>
        <family val="2"/>
      </rPr>
      <t xml:space="preserve">(mínimo de 15 % do total da RAL) </t>
    </r>
    <r>
      <rPr>
        <b/>
        <sz val="12"/>
        <color rgb="FF009999"/>
        <rFont val="Calibri"/>
        <family val="2"/>
      </rPr>
      <t xml:space="preserve">   </t>
    </r>
    <r>
      <rPr>
        <b/>
        <sz val="12"/>
        <color indexed="8"/>
        <rFont val="Calibri"/>
        <family val="2"/>
      </rPr>
      <t xml:space="preserve">                                                                     </t>
    </r>
  </si>
  <si>
    <r>
      <t xml:space="preserve">Atendimento
</t>
    </r>
    <r>
      <rPr>
        <b/>
        <sz val="12"/>
        <color rgb="FF008080"/>
        <rFont val="Calibri"/>
        <family val="2"/>
      </rPr>
      <t>(mínimo de 10 % do total da RAL)</t>
    </r>
  </si>
  <si>
    <r>
      <t xml:space="preserve">Capacitação
</t>
    </r>
    <r>
      <rPr>
        <b/>
        <sz val="12"/>
        <color rgb="FF008080"/>
        <rFont val="Calibri"/>
        <family val="2"/>
        <scheme val="minor"/>
      </rPr>
      <t>(mínimo de 2% e máximo de 4% da Folha de Pagamento)</t>
    </r>
    <r>
      <rPr>
        <b/>
        <sz val="12"/>
        <color rgb="FF008080"/>
        <rFont val="Calibri"/>
        <family val="2"/>
      </rPr>
      <t xml:space="preserve">     </t>
    </r>
    <r>
      <rPr>
        <b/>
        <sz val="12"/>
        <color indexed="57"/>
        <rFont val="Calibri"/>
        <family val="2"/>
      </rPr>
      <t xml:space="preserve">         </t>
    </r>
  </si>
  <si>
    <r>
      <t xml:space="preserve">Comunicação
</t>
    </r>
    <r>
      <rPr>
        <b/>
        <sz val="12"/>
        <color rgb="FF008080"/>
        <rFont val="Calibri"/>
        <family val="2"/>
      </rPr>
      <t>(mínimo de 3% do total da RAL)</t>
    </r>
    <r>
      <rPr>
        <b/>
        <sz val="12"/>
        <color indexed="21"/>
        <rFont val="Calibri"/>
        <family val="2"/>
      </rPr>
      <t xml:space="preserve">             </t>
    </r>
    <r>
      <rPr>
        <b/>
        <sz val="12"/>
        <color indexed="57"/>
        <rFont val="Calibri"/>
        <family val="2"/>
      </rPr>
      <t xml:space="preserve">                                                                                </t>
    </r>
  </si>
  <si>
    <r>
      <t xml:space="preserve">Patrocínio
</t>
    </r>
    <r>
      <rPr>
        <b/>
        <sz val="12"/>
        <color rgb="FF008080"/>
        <rFont val="Calibri"/>
        <family val="2"/>
      </rPr>
      <t xml:space="preserve">(máximo de 5% do total da RAL) </t>
    </r>
    <r>
      <rPr>
        <b/>
        <sz val="12"/>
        <color indexed="21"/>
        <rFont val="Calibri"/>
        <family val="2"/>
      </rPr>
      <t xml:space="preserve">  </t>
    </r>
    <r>
      <rPr>
        <b/>
        <sz val="12"/>
        <color indexed="10"/>
        <rFont val="Calibri"/>
        <family val="2"/>
      </rPr>
      <t xml:space="preserve">      </t>
    </r>
    <r>
      <rPr>
        <b/>
        <sz val="12"/>
        <color indexed="8"/>
        <rFont val="Calibri"/>
        <family val="2"/>
      </rPr>
      <t xml:space="preserve">                                                                            </t>
    </r>
  </si>
  <si>
    <r>
      <t xml:space="preserve">Índice de municípios que possuem  Plano Diretor, em conformidade com os critérios da legislação (%) 
</t>
    </r>
    <r>
      <rPr>
        <b/>
        <sz val="12"/>
        <color theme="1"/>
        <rFont val="Calibri"/>
        <family val="2"/>
        <scheme val="minor"/>
      </rPr>
      <t xml:space="preserve">(CAU/UF) </t>
    </r>
  </si>
  <si>
    <r>
      <t xml:space="preserve">Índice da capacidade de fiscalização (%) 
</t>
    </r>
    <r>
      <rPr>
        <b/>
        <sz val="12"/>
        <rFont val="Calibri"/>
        <family val="2"/>
        <scheme val="minor"/>
      </rPr>
      <t xml:space="preserve">(CAU/UF) </t>
    </r>
  </si>
  <si>
    <r>
      <t xml:space="preserve">Índice de presença profissional nas obras e  serviços fiscalizados  (%)
</t>
    </r>
    <r>
      <rPr>
        <b/>
        <sz val="12"/>
        <rFont val="Calibri"/>
        <family val="2"/>
        <scheme val="minor"/>
      </rPr>
      <t xml:space="preserve">(CAU/UF) </t>
    </r>
    <r>
      <rPr>
        <sz val="12"/>
        <rFont val="Calibri"/>
        <family val="2"/>
        <scheme val="minor"/>
      </rPr>
      <t xml:space="preserve">                   </t>
    </r>
  </si>
  <si>
    <r>
      <t xml:space="preserve">Índice de RRT por profissional ativo (Qtd)
</t>
    </r>
    <r>
      <rPr>
        <b/>
        <sz val="12"/>
        <rFont val="Calibri"/>
        <family val="2"/>
        <scheme val="minor"/>
      </rPr>
      <t xml:space="preserve">(CAU/UF)         </t>
    </r>
    <r>
      <rPr>
        <sz val="12"/>
        <rFont val="Calibri"/>
        <family val="2"/>
        <scheme val="minor"/>
      </rPr>
      <t xml:space="preserve">       </t>
    </r>
  </si>
  <si>
    <r>
      <t xml:space="preserve">Índice de capacidade de atendimento de denúncias  (%)
</t>
    </r>
    <r>
      <rPr>
        <b/>
        <sz val="12"/>
        <rFont val="Calibri"/>
        <family val="2"/>
        <scheme val="minor"/>
      </rPr>
      <t>(CAU/UF)</t>
    </r>
  </si>
  <si>
    <r>
      <t xml:space="preserve">Índice de eficiência na conclusão de processos de fiscalização  (%)
</t>
    </r>
    <r>
      <rPr>
        <b/>
        <sz val="12"/>
        <rFont val="Calibri"/>
        <family val="2"/>
        <scheme val="minor"/>
      </rPr>
      <t>(CAU/UF)</t>
    </r>
  </si>
  <si>
    <r>
      <t xml:space="preserve">Índice da capacidade de articulação institucional para fiscalização (%)
</t>
    </r>
    <r>
      <rPr>
        <b/>
        <sz val="12"/>
        <rFont val="Calibri"/>
        <family val="2"/>
        <scheme val="minor"/>
      </rPr>
      <t>(CAU/UF)</t>
    </r>
  </si>
  <si>
    <r>
      <t xml:space="preserve">Índice produtividade de fiscalização (%)
</t>
    </r>
    <r>
      <rPr>
        <b/>
        <sz val="12"/>
        <rFont val="Calibri"/>
        <family val="2"/>
        <scheme val="minor"/>
      </rPr>
      <t>(CAU/UF)</t>
    </r>
  </si>
  <si>
    <r>
      <t xml:space="preserve">Índice de regularidade no CAU (%)
</t>
    </r>
    <r>
      <rPr>
        <b/>
        <sz val="12"/>
        <rFont val="Calibri"/>
        <family val="2"/>
        <scheme val="minor"/>
      </rPr>
      <t>(CAU/UF)</t>
    </r>
  </si>
  <si>
    <r>
      <t xml:space="preserve">Índice de regularização de obras e serviços (%)
</t>
    </r>
    <r>
      <rPr>
        <b/>
        <sz val="12"/>
        <rFont val="Calibri"/>
        <family val="2"/>
        <scheme val="minor"/>
      </rPr>
      <t>(CAU/UF)</t>
    </r>
  </si>
  <si>
    <r>
      <t xml:space="preserve">Índice de regularização com RRT (%)
</t>
    </r>
    <r>
      <rPr>
        <b/>
        <sz val="12"/>
        <rFont val="Calibri"/>
        <family val="2"/>
        <scheme val="minor"/>
      </rPr>
      <t>(CAU/UF)</t>
    </r>
  </si>
  <si>
    <r>
      <t xml:space="preserve">Índice de atendimento (%)
</t>
    </r>
    <r>
      <rPr>
        <b/>
        <sz val="12"/>
        <rFont val="Calibri"/>
        <family val="2"/>
        <scheme val="minor"/>
      </rPr>
      <t>(CAU/UF)</t>
    </r>
  </si>
  <si>
    <r>
      <t xml:space="preserve">Índice de satisfação com a solução da demanda (%)
</t>
    </r>
    <r>
      <rPr>
        <b/>
        <sz val="12"/>
        <rFont val="Calibri"/>
        <family val="2"/>
        <scheme val="minor"/>
      </rPr>
      <t>(CAU/UF)</t>
    </r>
  </si>
  <si>
    <r>
      <t xml:space="preserve">Índice de reclamações recebidas na Ouvidoria (%)
</t>
    </r>
    <r>
      <rPr>
        <b/>
        <sz val="12"/>
        <rFont val="Calibri"/>
        <family val="2"/>
        <scheme val="minor"/>
      </rPr>
      <t>(CAU/UF)</t>
    </r>
  </si>
  <si>
    <r>
      <t xml:space="preserve">Índice da capacidade de execução dos investimentos em patrocínios  (%)
</t>
    </r>
    <r>
      <rPr>
        <b/>
        <sz val="12"/>
        <rFont val="Calibri"/>
        <family val="2"/>
        <scheme val="minor"/>
      </rPr>
      <t>(CAU/UF)</t>
    </r>
  </si>
  <si>
    <r>
      <t xml:space="preserve">Índice de difusão de conhecimento em eventos próprios (%)
</t>
    </r>
    <r>
      <rPr>
        <b/>
        <sz val="12"/>
        <rFont val="Calibri"/>
        <family val="2"/>
        <scheme val="minor"/>
      </rPr>
      <t>(CAU/UF)</t>
    </r>
  </si>
  <si>
    <r>
      <t xml:space="preserve">Índice de eficiência de custos de eventos próprios
</t>
    </r>
    <r>
      <rPr>
        <b/>
        <sz val="12"/>
        <rFont val="Calibri"/>
        <family val="2"/>
        <scheme val="minor"/>
      </rPr>
      <t>(CAU/UF)</t>
    </r>
  </si>
  <si>
    <r>
      <t xml:space="preserve">Índice de alcance das melhores práticas (%)
</t>
    </r>
    <r>
      <rPr>
        <b/>
        <sz val="12"/>
        <rFont val="Calibri"/>
        <family val="2"/>
        <scheme val="minor"/>
      </rPr>
      <t>(CAU/UF)</t>
    </r>
  </si>
  <si>
    <r>
      <t xml:space="preserve">Ações realizadas em conjunto com municípios, destinadas ao planejamento urbano
</t>
    </r>
    <r>
      <rPr>
        <b/>
        <sz val="12"/>
        <color theme="1"/>
        <rFont val="Calibri"/>
        <family val="2"/>
        <scheme val="minor"/>
      </rPr>
      <t>(CAU/UF)</t>
    </r>
  </si>
  <si>
    <r>
      <t xml:space="preserve">Participação do CAU na elaboração ou regulamentação da Lei da Assistência Técnica Gratuita (Lei nº 11.888/08) (%)
</t>
    </r>
    <r>
      <rPr>
        <b/>
        <sz val="12"/>
        <rFont val="Calibri"/>
        <family val="2"/>
        <scheme val="minor"/>
      </rPr>
      <t>(CAU/UF)</t>
    </r>
  </si>
  <si>
    <r>
      <t xml:space="preserve">Índice de ações realizadas destinadas à Assistência Técnica (%)
</t>
    </r>
    <r>
      <rPr>
        <b/>
        <sz val="12"/>
        <rFont val="Calibri"/>
        <family val="2"/>
        <scheme val="minor"/>
      </rPr>
      <t>(CAU/UF)</t>
    </r>
  </si>
  <si>
    <r>
      <t xml:space="preserve">Acessos à página do CAU (Qtd.)
</t>
    </r>
    <r>
      <rPr>
        <b/>
        <sz val="12"/>
        <rFont val="Calibri"/>
        <family val="2"/>
        <scheme val="minor"/>
      </rPr>
      <t>(CAU/UF)</t>
    </r>
  </si>
  <si>
    <r>
      <t xml:space="preserve">Índice de presença na mídia como um todo (%)
</t>
    </r>
    <r>
      <rPr>
        <b/>
        <sz val="12"/>
        <rFont val="Calibri"/>
        <family val="2"/>
        <scheme val="minor"/>
      </rPr>
      <t>(CAU/UF)</t>
    </r>
  </si>
  <si>
    <r>
      <t xml:space="preserve">Índice de inserções positivas na mídia (%)
</t>
    </r>
    <r>
      <rPr>
        <b/>
        <sz val="12"/>
        <rFont val="Calibri"/>
        <family val="2"/>
        <scheme val="minor"/>
      </rPr>
      <t>(CAU/UF)</t>
    </r>
  </si>
  <si>
    <r>
      <t xml:space="preserve">Índice de escolas que possuem disciplinas com conteúdo sobre a ética profissional (%)
</t>
    </r>
    <r>
      <rPr>
        <b/>
        <sz val="12"/>
        <rFont val="Calibri"/>
        <family val="2"/>
        <scheme val="minor"/>
      </rPr>
      <t>(CAU/UF)</t>
    </r>
  </si>
  <si>
    <r>
      <t xml:space="preserve">Índice de eficiência na conclusão de processos éticos (%)
</t>
    </r>
    <r>
      <rPr>
        <b/>
        <sz val="12"/>
        <rFont val="Calibri"/>
        <family val="2"/>
        <scheme val="minor"/>
      </rPr>
      <t>(CAU/UF)</t>
    </r>
  </si>
  <si>
    <r>
      <t xml:space="preserve">Eficiência no trâmite de processos éticos (dias)
</t>
    </r>
    <r>
      <rPr>
        <b/>
        <sz val="12"/>
        <rFont val="Calibri"/>
        <family val="2"/>
        <scheme val="minor"/>
      </rPr>
      <t>(CAU/UF)</t>
    </r>
  </si>
  <si>
    <r>
      <t xml:space="preserve">Índice de RRT por população (1.000 habitantes) (%)
</t>
    </r>
    <r>
      <rPr>
        <b/>
        <sz val="12"/>
        <rFont val="Calibri"/>
        <family val="2"/>
        <scheme val="minor"/>
      </rPr>
      <t>(CAU/UF)</t>
    </r>
  </si>
  <si>
    <r>
      <t xml:space="preserve">Índice de RRT mínimos (%)
</t>
    </r>
    <r>
      <rPr>
        <b/>
        <sz val="12"/>
        <rFont val="Calibri"/>
        <family val="2"/>
        <scheme val="minor"/>
      </rPr>
      <t>(CAU/UF)</t>
    </r>
  </si>
  <si>
    <r>
      <t xml:space="preserve">Índice de RRT Social (%)
</t>
    </r>
    <r>
      <rPr>
        <b/>
        <sz val="12"/>
        <rFont val="Calibri"/>
        <family val="2"/>
        <scheme val="minor"/>
      </rPr>
      <t>(CAU/UF)</t>
    </r>
  </si>
  <si>
    <r>
      <t xml:space="preserve">Índice de receita por arquiteto e urbanista 
</t>
    </r>
    <r>
      <rPr>
        <b/>
        <sz val="12"/>
        <rFont val="Calibri"/>
        <family val="2"/>
        <scheme val="minor"/>
      </rPr>
      <t>(CAU/UF)</t>
    </r>
  </si>
  <si>
    <r>
      <t xml:space="preserve">Relação receita/custo total de pessoal (%)
</t>
    </r>
    <r>
      <rPr>
        <b/>
        <sz val="12"/>
        <rFont val="Calibri"/>
        <family val="2"/>
        <scheme val="minor"/>
      </rPr>
      <t>(CAU/UF)</t>
    </r>
  </si>
  <si>
    <r>
      <t xml:space="preserve">Índice de liquidez corrente 
</t>
    </r>
    <r>
      <rPr>
        <b/>
        <sz val="12"/>
        <rFont val="Calibri"/>
        <family val="2"/>
        <scheme val="minor"/>
      </rPr>
      <t>(CAU/UF)</t>
    </r>
  </si>
  <si>
    <r>
      <t xml:space="preserve">Índice de inadimplência pessoa física (%)
</t>
    </r>
    <r>
      <rPr>
        <b/>
        <sz val="12"/>
        <rFont val="Calibri"/>
        <family val="2"/>
        <scheme val="minor"/>
      </rPr>
      <t>(CAU/UF)</t>
    </r>
  </si>
  <si>
    <r>
      <t xml:space="preserve">Índice de inadimplência pessoa jurídica (%)
</t>
    </r>
    <r>
      <rPr>
        <b/>
        <sz val="12"/>
        <rFont val="Calibri"/>
        <family val="2"/>
        <scheme val="minor"/>
      </rPr>
      <t>(CAU/UF)</t>
    </r>
  </si>
  <si>
    <r>
      <t xml:space="preserve">Índice de mapeamento processos (%)
</t>
    </r>
    <r>
      <rPr>
        <b/>
        <sz val="12"/>
        <rFont val="Calibri"/>
        <family val="2"/>
        <scheme val="minor"/>
      </rPr>
      <t>(CAU/UF)</t>
    </r>
  </si>
  <si>
    <r>
      <t xml:space="preserve">Índice de normatização de processos (%)
</t>
    </r>
    <r>
      <rPr>
        <b/>
        <sz val="12"/>
        <rFont val="Calibri"/>
        <family val="2"/>
        <scheme val="minor"/>
      </rPr>
      <t>(CAU/UF)</t>
    </r>
  </si>
  <si>
    <r>
      <t xml:space="preserve">Índice de automação de processos (%)
</t>
    </r>
    <r>
      <rPr>
        <b/>
        <sz val="12"/>
        <rFont val="Calibri"/>
        <family val="2"/>
        <scheme val="minor"/>
      </rPr>
      <t>(CAU/UF)</t>
    </r>
  </si>
  <si>
    <r>
      <t xml:space="preserve">Média de horas de treinamento por colaboradores e dirigentes
</t>
    </r>
    <r>
      <rPr>
        <b/>
        <sz val="12"/>
        <rFont val="Calibri"/>
        <family val="2"/>
        <scheme val="minor"/>
      </rPr>
      <t>(CAU/UF)</t>
    </r>
  </si>
  <si>
    <r>
      <t>total de iniciativas executadas</t>
    </r>
    <r>
      <rPr>
        <b/>
        <sz val="12"/>
        <rFont val="Calibri"/>
        <family val="2"/>
        <scheme val="minor"/>
      </rPr>
      <t xml:space="preserve">                                                                       </t>
    </r>
  </si>
  <si>
    <r>
      <t>total de iniciativas planejadas</t>
    </r>
    <r>
      <rPr>
        <b/>
        <sz val="12"/>
        <rFont val="Calibri"/>
        <family val="2"/>
        <scheme val="minor"/>
      </rPr>
      <t xml:space="preserve">                                                                                  </t>
    </r>
  </si>
  <si>
    <r>
      <t xml:space="preserve">Índice de satisfação interna com a tecnologia utilizada (%)
</t>
    </r>
    <r>
      <rPr>
        <b/>
        <sz val="12"/>
        <rFont val="Calibri"/>
        <family val="2"/>
        <scheme val="minor"/>
      </rPr>
      <t>(CAU/UF)</t>
    </r>
  </si>
  <si>
    <r>
      <t xml:space="preserve">Índice de satisfação externa com a tecnologia utilizada (%)
</t>
    </r>
    <r>
      <rPr>
        <b/>
        <sz val="12"/>
        <rFont val="Calibri"/>
        <family val="2"/>
        <scheme val="minor"/>
      </rPr>
      <t>(CAU/UF)</t>
    </r>
  </si>
  <si>
    <t>LEGENDA: P = PROJETO/ A = ATIVIDADE/ PE = PROJETO ESPECÍFICO / FA = FUNDO DE APOIO</t>
  </si>
  <si>
    <t>Proposta Reprogramação 2023
(D=B+C)</t>
  </si>
  <si>
    <t>OBS: No item da categoria dos "Usos Correntes", deverão ser considerados os valores dos Aportes ao Fundo de Apoio, ao CSC e à Reserva de Contingência.</t>
  </si>
  <si>
    <t>RESUMO DA REPROGRAMAÇÃO ORDINÁRIA 2023 - POR CATEGORIA ECONÔMICA</t>
  </si>
  <si>
    <t>II - APLICAÇÕES</t>
  </si>
  <si>
    <t>1) O valor da Programação 2023 deve ser igual ao valor APROVADO no Plano de Ação 2023 , ou seja, sem transposição. Para os CAU/UF que realizaram a Reprogramação Extraordinária 2023, deve ser considerado como refererência para preenchimento nos campos da Programação 2023.</t>
  </si>
  <si>
    <t>3) Usar o arquivo da Reprogramação 2023 enviado pela GERPLAN.
O anexo 4 é de envio facultativo.</t>
  </si>
  <si>
    <r>
      <t xml:space="preserve">5) O valor do "Executado 2023": retirar do SISCONT. NET, no caminho "Centro de Custos&gt; Relatórios&gt; Demonstrativo de empenhos/pagamentos"; período de  </t>
    </r>
    <r>
      <rPr>
        <b/>
        <i/>
        <sz val="12"/>
        <color rgb="FFFF0000"/>
        <rFont val="Calibri"/>
        <family val="2"/>
        <scheme val="minor"/>
      </rPr>
      <t>01/01/2023 até 31/05/2023</t>
    </r>
    <r>
      <rPr>
        <b/>
        <i/>
        <sz val="12"/>
        <color theme="1"/>
        <rFont val="Calibri"/>
        <family val="2"/>
        <scheme val="minor"/>
      </rPr>
      <t xml:space="preserve">; na coluna "LIQUIDAÇÕES". </t>
    </r>
  </si>
  <si>
    <r>
      <t xml:space="preserve">6) O valor das "Receitas realizadas 2023": retirar do SISCONT. NET, no caminho:  "Contabilidade&gt; Relatórios-&gt;Consolidado&gt;comparativo da receita"; período de </t>
    </r>
    <r>
      <rPr>
        <b/>
        <i/>
        <sz val="12"/>
        <color rgb="FFFF0000"/>
        <rFont val="Calibri"/>
        <family val="2"/>
        <scheme val="minor"/>
      </rPr>
      <t>01/01/2023 até 31/05/2023</t>
    </r>
    <r>
      <rPr>
        <b/>
        <i/>
        <sz val="12"/>
        <color theme="1"/>
        <rFont val="Calibri"/>
        <family val="2"/>
        <scheme val="minor"/>
      </rPr>
      <t>; na coluna "Arrec.Período"</t>
    </r>
  </si>
  <si>
    <r>
      <t xml:space="preserve">7) Na proposta de Reprogramação do Plano de Ação 2023, fica VEDADA, a inobservância de aplicação dos percentuais mínimos e máximos, referenciados na Receita de Arrecadação Líquida (RAL), para os limites estratégicos (anexo 2), </t>
    </r>
    <r>
      <rPr>
        <b/>
        <i/>
        <sz val="12"/>
        <color rgb="FFFF0000"/>
        <rFont val="Calibri"/>
        <family val="2"/>
        <scheme val="minor"/>
      </rPr>
      <t>com exceção para o limite de Capacitação</t>
    </r>
    <r>
      <rPr>
        <b/>
        <i/>
        <sz val="12"/>
        <color theme="1"/>
        <rFont val="Calibri"/>
        <family val="2"/>
        <scheme val="minor"/>
      </rPr>
      <t>, mediante justificativas próprias, os CAU/UF poderão flexibilizar a aplicação de recursos mínimo de 2% e máximo de 4% da folha de pagamento.</t>
    </r>
  </si>
  <si>
    <t>AT/N/R/E/C</t>
  </si>
  <si>
    <t>I - Superávit financeiro Acumulado em 2022</t>
  </si>
  <si>
    <r>
      <t xml:space="preserve"> Despesas com Pessoal 
</t>
    </r>
    <r>
      <rPr>
        <b/>
        <sz val="12"/>
        <color rgb="FF008080"/>
        <rFont val="Calibri"/>
        <family val="2"/>
        <scheme val="minor"/>
      </rPr>
      <t>(máximo de 60% sobre as Receitas Correntes)</t>
    </r>
  </si>
  <si>
    <t>OBS 1:  Vedada a inobservância de aplicação dos percentuais:
Atendimento - mínimo de 10% da RAL
Fiscalização – mínimo de 15% da RAL
Despesa com pessoal – até 60% das receitas correntes
Comunicação - mínimo de 3% da RAL
Objetivos Locais - mínimo de 6% da RAL
Patrocínios - máximo de 5% da RAL
ATHIS - mínimo de 2% da RAL
Reserva de Contingência - até 2% da RAL</t>
  </si>
  <si>
    <t>Perspectivas</t>
  </si>
  <si>
    <t>Projetos/Objetivos Estratégicos</t>
  </si>
  <si>
    <t>Projeto</t>
  </si>
  <si>
    <t>Projeto Específico</t>
  </si>
  <si>
    <t>Atividade</t>
  </si>
  <si>
    <t>Total Iniciativas</t>
  </si>
  <si>
    <t>Part. %</t>
  </si>
  <si>
    <t>Objetivos Locais</t>
  </si>
  <si>
    <t>Qde.</t>
  </si>
  <si>
    <t>selecione abaixo</t>
  </si>
  <si>
    <t>Sociedade</t>
  </si>
  <si>
    <t>Processos Internos</t>
  </si>
  <si>
    <t>Pessoas e Infraestrutura</t>
  </si>
  <si>
    <t>Presidência</t>
  </si>
  <si>
    <t>Direção Geral</t>
  </si>
  <si>
    <t>Gerência Técnica</t>
  </si>
  <si>
    <t>Gerência de Operações</t>
  </si>
  <si>
    <t>Assessoria Jurídica</t>
  </si>
  <si>
    <t>Comissão de Ética</t>
  </si>
  <si>
    <t>Comissão de Atos Administrativos</t>
  </si>
  <si>
    <t>Comissão de Exercício Profissional e Fiscalização</t>
  </si>
  <si>
    <t>Comissão de Planejamento e Finanças</t>
  </si>
  <si>
    <t>Comissão de Ensino</t>
  </si>
  <si>
    <t>Comissão Especial Política Urbana</t>
  </si>
  <si>
    <t>Plenária</t>
  </si>
  <si>
    <t>Assessoria de Comunicação</t>
  </si>
  <si>
    <t>Gerência de Atendimento</t>
  </si>
  <si>
    <t>Gerência de Fiscalização</t>
  </si>
  <si>
    <t>Gerência Administrativa</t>
  </si>
  <si>
    <t>Plenário</t>
  </si>
  <si>
    <t>Articulação Institucional e fomento de parcerias estratégicas.</t>
  </si>
  <si>
    <t>Manutenção Institucional</t>
  </si>
  <si>
    <t>Orientação, esclarecimento e atendimento de demandas de profissionais e empresas</t>
  </si>
  <si>
    <t>Operacionalização dos processos éticos e de multa/fiscalização</t>
  </si>
  <si>
    <t>Manutenção Financeira</t>
  </si>
  <si>
    <t>Consultoria e Assessoria Jurídica</t>
  </si>
  <si>
    <t>Operacionalização e processamento dos  processos éticos</t>
  </si>
  <si>
    <t>Assessoramento organizacional-institucional</t>
  </si>
  <si>
    <t>Operacionalização da Fiscalização e fomento da valorização profissional</t>
  </si>
  <si>
    <t>Operacionalização, Planejamento e Controle do CAU</t>
  </si>
  <si>
    <t>Fomento ao aperfeiçoamento e à formação profissional</t>
  </si>
  <si>
    <t>Fomento a ações que buscam promover melhorias da prática profissional</t>
  </si>
  <si>
    <t>Fomento a ações que buscam promover melhorias da política urbana estadual</t>
  </si>
  <si>
    <t>Operacionalização das reuniões institucionais regimentais</t>
  </si>
  <si>
    <t>Semana do Arquiteto</t>
  </si>
  <si>
    <t>APC - Aperfeiçoamento Profissional Continuado</t>
  </si>
  <si>
    <t>Patrocínio</t>
  </si>
  <si>
    <t>Aporte ao Fundo de Apoio</t>
  </si>
  <si>
    <t>Comunicação Institucional</t>
  </si>
  <si>
    <t>Programa de Capacitação dos Colaboradores</t>
  </si>
  <si>
    <t>Programa de Assistência Técnica</t>
  </si>
  <si>
    <t>Atendimento da Sociedade e arquitetos e urbanistas</t>
  </si>
  <si>
    <t>Reforma sede CAU/BA</t>
  </si>
  <si>
    <t>Aquisição de Equipamentos</t>
  </si>
  <si>
    <t>CSC -Fiscalização</t>
  </si>
  <si>
    <t>CSC- Atendimento</t>
  </si>
  <si>
    <t>Plano de Fiscalização</t>
  </si>
  <si>
    <t>Reserva de Contingência</t>
  </si>
  <si>
    <t>Aquisição sede CAU/BA</t>
  </si>
  <si>
    <t>Concurso</t>
  </si>
  <si>
    <t>Manutenção Administrativa</t>
  </si>
  <si>
    <t>Mudança sede Defiitiva</t>
  </si>
  <si>
    <t>Projeto Intercomissões</t>
  </si>
  <si>
    <t xml:space="preserve">Aquisição carro </t>
  </si>
  <si>
    <t>Eleiçoes</t>
  </si>
  <si>
    <t>Prover recursos humanos e materiais para articular parcerias e estimular práticas voltadas a valorização e fiscalização profissional</t>
  </si>
  <si>
    <t>Prover  a estruturação, seja por meio de recursos humanos, equipamentos,  materiais e tecnologia  para execução das atividades das diversas unidades e comissões regimentais e não regimentais do CAU/BA</t>
  </si>
  <si>
    <t xml:space="preserve">Orientar, disciplinar e promover o exercício qualificado da Arquitetura e Urbanismo </t>
  </si>
  <si>
    <t>Prover recursos humanos e materiais para operacionalizar, planejar e identificar o segmento técnico fiscalizável  e no âmbito do Estado da Bahia, além de prover a estruturação dos processos éticos.</t>
  </si>
  <si>
    <t>Prover recursos humanos e materiais, operacionalizar e planejar a continuidade das ações  financeiras do CAU/BA, zelando pelo equilíbrio das contas do Conselho.</t>
  </si>
  <si>
    <t>Prover recursos humanos e materiais para estruturar, organizar e manter em funcionamento a Assessoria Jurídica do CAU-BA.</t>
  </si>
  <si>
    <t>Prover recursos humanos e materiais visando o processamento das demandas ético-disciplinares</t>
  </si>
  <si>
    <t>Prover recursos humanos e materiais visando a estruturação e organização dos normativos do CAU/BA.</t>
  </si>
  <si>
    <t>Prover recursos humanos e materiais visando a estruturação e organização das ações de valorização profissional e de fiscalização.</t>
  </si>
  <si>
    <t>Prover recursos humanos e materiais visando a estruturação e organização do planejamento e de controle do CAU/BA</t>
  </si>
  <si>
    <t>Prover recursos humanos e materiais visando a estruturação e organização da educação continuada e de formação profissional no âmbito do CAU/BA.</t>
  </si>
  <si>
    <t>Prover recursos técnicos visando a estruturação ao empreendedorismo dos arquitetos e urbanistas</t>
  </si>
  <si>
    <t>Prover recursos técnicos visando opinar sobre matérias com impacto urbanista</t>
  </si>
  <si>
    <t>Intercambiar informações e atualizar as diretrizes de atuação no âmbito Estadual</t>
  </si>
  <si>
    <t>Promover evento que fomente a dignificação da Arquitetura por meio do intercâmbio de informações técnico-temático</t>
  </si>
  <si>
    <t>Construir parcerias e identificar temáticas que contribuam para a maturação do conteúdo de formação profissional</t>
  </si>
  <si>
    <t>Intensificar parcerias voltadas ao desenvolvimento da Arquitetura e Urbanismo</t>
  </si>
  <si>
    <t>Contribuir para estruturação e distribuição de recursos vinculadas a constituição de Fundo de Apoio.</t>
  </si>
  <si>
    <t>Prover recursos humanos e materiais para promover e disseminar a  missão, visão,  consolidando a marca CAU/BA</t>
  </si>
  <si>
    <t>Direcionar o profissional a um processo de educação, reciclagem e alteração de comportamento</t>
  </si>
  <si>
    <t>Disseminar e sensibilizar a assistência técnica pública e gratuita para o projeto e a construção de habitação de interesse social, como parte integrante do direito social à moradia previsto.</t>
  </si>
  <si>
    <t>Aperfeiçoar o atendimento aos públicos interno e externo e  aprimorar o relacionamento com a sociedade</t>
  </si>
  <si>
    <t>Reestruturação dos espaços e atividades</t>
  </si>
  <si>
    <t>Modernizar parque computacional do CAU/BA</t>
  </si>
  <si>
    <t>Dotar a Gerência de Fiscalização de sistemas que facilitem a gestão e a tomada de decisão no Plano de Fiscalização do CAU/BA</t>
  </si>
  <si>
    <t>Dotar a Gerência de Atendimento de sistemas que facilitem e agilizem o atendimento aos profissionais</t>
  </si>
  <si>
    <t>Implementar o Plano de Fiscalização Profissional no âmbito do Estado da Bahia</t>
  </si>
  <si>
    <t>Suportar eventuais ações estratégicas não contempladas no PA</t>
  </si>
  <si>
    <t>Melhoria das instalações e das distribuições das unidades internas e atividades funcionais</t>
  </si>
  <si>
    <t>Estruturar e organizar a realização do Concurso Público</t>
  </si>
  <si>
    <t>Planejar e gerenciar as ações  administrativas do CAU/BA, zelando pela contratação mais vantajosa para o Conselho.</t>
  </si>
  <si>
    <t>Proporcionar melhoria de infraestrutura, agora de forma definitiva da sede, para readequar as instalações físicas em espaço com maior infraestrutura que permita melhor desenvolvimento das ativiades finalísticas da Autarquia</t>
  </si>
  <si>
    <t xml:space="preserve">Possibilitar a aplicação de recursos em ações estratégicas de âmbito global, compreendendo a necessidade de transversalidade das ações das comissões, de modo a cumprir a função do CAU, de “orientar, disciplinar e fiscalizar o exercício da profissão de arquitetura e urbanismo, zelar pela fiel observância dos princípios de ética e disciplina da classe em todo o território nacional, bem como pugnar pelo aperfeiçoamento do exercício da arquitetura e urbanismo” </t>
  </si>
  <si>
    <t>Proporcionar melhoria de infraestrutura que permita melhor desenvilvimento das atividades da fiscalização</t>
  </si>
  <si>
    <t>Fortalecimento e sedimentação da missão e visão do sistema CAU em face da sociedade, profissionais, instituições públicas e privadas.</t>
  </si>
  <si>
    <t>Manter a continuidade dos serviços e atividades do CAU/BA; Assegurar o bom funcionamento, manter a organização e promover a estruturação necessária para garantia da eficácia dos serviços, desde o atendimento, fomento à valorização profissional e fiscalização.</t>
  </si>
  <si>
    <t xml:space="preserve">Melhorar quantitativamente e qualitativamente o atendimento prestado aos profissionais e empresas </t>
  </si>
  <si>
    <t>Contribuir para a maximização das ações de fiscalização com utilização de mecanismos inovadores para sua efetivação; Contribuir para a maximização das ações disciplinares éticas.</t>
  </si>
  <si>
    <t>Melhoria no gerenciamento do fluxo de pagamentos e contratações, com vistas a estruturar rotinas eficazes de gestão.</t>
  </si>
  <si>
    <t>Elevar o conhecimento dos colaboradores em normativos aplicáveis a autarquia CAU/BA, compartilhando informações e procedimentos</t>
  </si>
  <si>
    <t>Contribuir para a otimização e agilização dos processos administrativos ético-disciplinares no âmbito do CAU/BA</t>
  </si>
  <si>
    <t>Contribuir para a otimização e agilização dos procedimentos operacionais e administrativos no âmbito do CAU/BA.</t>
  </si>
  <si>
    <t>Contribuir para a efetivação da fiscalização, mediante análise comparativa de dados, cumprimento de diligências, participação da sociedade, com vistas a assegurar a melhoria do exercício profissional do Arquiteto e Urbanista.</t>
  </si>
  <si>
    <t>Contribuir para a otimização e agilização dos procedimentos de planejamento e de controle no âmbito do CAU/BA</t>
  </si>
  <si>
    <t>Contribuir para a otimização e agilização dos procedimentos internos no âmbito do CAU/BA vinculados ao ensino e formação.</t>
  </si>
  <si>
    <t>Contribuir para a disseminação da cultura empreendedora e organização da atividade profissional sob a perspectiva dos negócios</t>
  </si>
  <si>
    <t>Contribuir para a inserção da arquitetura nos planos gerais e parciais de urbanização ou reurbanização das cidades do estado da Bahia</t>
  </si>
  <si>
    <t>Prover recursos humanos e materiais visando a estruturação e organização das ações do Plenário do âmbito do CAU/BA</t>
  </si>
  <si>
    <t>Intensificar e aproximar O CAU/BA com seu público-alvo e a sociedade em geral, além de aprimorar a atuação profissional, por meio do fomento ao aperfeiçoamento profissional.</t>
  </si>
  <si>
    <t>Dotar o CAU/BA de rotina continuada de fomento e de valorização profissional</t>
  </si>
  <si>
    <t>Estruturar e solidificar parcerias estratégicas</t>
  </si>
  <si>
    <t>Participação na estruturação de organização sistêmica nacional</t>
  </si>
  <si>
    <t>Solidificar a imagem, a marca e a missão do CAU/BA enquanto instituição que busca promover a Arquitetura para todos, em defesa da sociedade</t>
  </si>
  <si>
    <t>Dotar o CAU/BA de rotina continuada de fomento e de valorização dos colaboradores</t>
  </si>
  <si>
    <t>Valorização e disseminação da cultura da Assistência Técnica</t>
  </si>
  <si>
    <t>Aperfeiçoar a qualidade do atendimento prestado aos públicos interno e externo.</t>
  </si>
  <si>
    <t>O redimensionamento dos espaços contribuirá para melhoria das atividades de fiscalização, de registro, cadastro, atendimento e funcionamento do CAU/BA</t>
  </si>
  <si>
    <t>Otimização e agilização dos procedimentos internos e redução no tempo de atendimento ao profissional Arquiteto e Urbanista</t>
  </si>
  <si>
    <t>Otimização e agilização dos procedimentos internos de fiscalização</t>
  </si>
  <si>
    <t xml:space="preserve">Melhoria na qualidade e na redução do tempo de atendimento </t>
  </si>
  <si>
    <t>Manter a continuidade Operacional do Plano de Fiscalização, visando maximização de suas ações.</t>
  </si>
  <si>
    <t>Possibilitar a aplicação de recursos em ações não contempladas no PA</t>
  </si>
  <si>
    <t>Dar conformidade e garantia ao processo de contratação de pessoal</t>
  </si>
  <si>
    <t>Melhoria no gerenciamento do fluxo de contratos, com vistas a estruturar rotinas eficazes de gestão.</t>
  </si>
  <si>
    <t>Melhoria do cumprimento das ativiades finalísticas da Autaquia, dirigidas aos profissionais, colaboradores e sociedade</t>
  </si>
  <si>
    <t>Fortalecer e sedimentar a missão do CAU/BA de “promover, em benefício da sociedade, a melhoria do exercício profissional da Arquitetura e Urbanismo, atuando com eficácia na orientação, disciplina, fiscalização e na disseminação do conhecimento”, fomentando as boas práticas profissionais e aproximando o CAU/BA do seu público-alvo e da sociedade em geral</t>
  </si>
  <si>
    <t>Fortalecer o cumprimento das atividades da fiscalização</t>
  </si>
  <si>
    <t>Dar conformidade e garantia ao processo eleitoral</t>
  </si>
  <si>
    <t>Execução 
Jan/Abr (B)</t>
  </si>
  <si>
    <t>Projetado
Mai/Dez  (C)</t>
  </si>
  <si>
    <t>1.1.1.1.1 Anuidade do Exercício 2023</t>
  </si>
  <si>
    <t>1.1.1.2.1 Anuidade do Exercício 2023</t>
  </si>
  <si>
    <t>CAU/BA</t>
  </si>
  <si>
    <t>Execução 
Jan/Maio (B)</t>
  </si>
  <si>
    <t>Projetado
Jun/Dez  (C)</t>
  </si>
  <si>
    <t>,</t>
  </si>
  <si>
    <t>Comissão Especial de Política Profissional e Política Urbana</t>
  </si>
  <si>
    <t xml:space="preserve"> VALORES BENEFÍCIOS SOBRE A FOLHA DE PAGAMENTO: VALE TRANSPORTE: R$ 43.661,52 / PROGRAMA ALMENTAÇÃO DO TRABALHADOR: R$ 175.032,00 / PLANO DE SAÚDE: R$ 125.611,20</t>
  </si>
  <si>
    <t>UF</t>
  </si>
  <si>
    <t>Fundo de Apoio</t>
  </si>
  <si>
    <t>CSC</t>
  </si>
  <si>
    <t>Ressarcimento</t>
  </si>
  <si>
    <t>Informações para os Indicadores</t>
  </si>
  <si>
    <t>PF</t>
  </si>
  <si>
    <t>PJ</t>
  </si>
  <si>
    <t>RRT</t>
  </si>
  <si>
    <t>Taxas</t>
  </si>
  <si>
    <t>Reprogramação 
2023</t>
  </si>
  <si>
    <t>Encontro de Contas</t>
  </si>
  <si>
    <t>Superávit financiero
apurado em 2022</t>
  </si>
  <si>
    <t>População
Censo 2022</t>
  </si>
  <si>
    <t>Fontes de Receitas Correntes (80%)</t>
  </si>
  <si>
    <t>AC</t>
  </si>
  <si>
    <t>Demais valores a checar</t>
  </si>
  <si>
    <t>Exercício</t>
  </si>
  <si>
    <t>Exercícios Anteriores</t>
  </si>
  <si>
    <t>Reprogramação</t>
  </si>
  <si>
    <t>Aporte ao
Fundo de Apoio</t>
  </si>
  <si>
    <t>Utilização com Plenárias Ampliadas</t>
  </si>
  <si>
    <t>Repasse do Fundo de Apoio</t>
  </si>
  <si>
    <t>Fiscalização</t>
  </si>
  <si>
    <t>Atendimento</t>
  </si>
  <si>
    <t>Taxas Bancárias
(Outras Receitas)</t>
  </si>
  <si>
    <t>Ativos</t>
  </si>
  <si>
    <t>Potencial Pagantes</t>
  </si>
  <si>
    <t>Inadimplência</t>
  </si>
  <si>
    <t>Quantitativo</t>
  </si>
  <si>
    <t>CSC - Fiscalização</t>
  </si>
  <si>
    <t>CSC - Atendimento</t>
  </si>
  <si>
    <t>AM</t>
  </si>
  <si>
    <t>CSC - SISCAF</t>
  </si>
  <si>
    <t>AP</t>
  </si>
  <si>
    <t>Fundo de Apoio - APORTE</t>
  </si>
  <si>
    <t>PA</t>
  </si>
  <si>
    <t>1.1.1.1.1 Anuidade do Exercício 2022</t>
  </si>
  <si>
    <t>Fundo de Apoio - Plenárias Ampliadas</t>
  </si>
  <si>
    <t>RO</t>
  </si>
  <si>
    <t>RR</t>
  </si>
  <si>
    <t>Superávit Financeiro 2020</t>
  </si>
  <si>
    <t>TO</t>
  </si>
  <si>
    <t>1.1.1.2.1 Anuidade do Exercício 2022</t>
  </si>
  <si>
    <t>AL</t>
  </si>
  <si>
    <t>BA</t>
  </si>
  <si>
    <t>CE</t>
  </si>
  <si>
    <t>MA</t>
  </si>
  <si>
    <t>PB</t>
  </si>
  <si>
    <t>PI</t>
  </si>
  <si>
    <t>RN</t>
  </si>
  <si>
    <t>Quantidades e Inadimplência</t>
  </si>
  <si>
    <t>SE</t>
  </si>
  <si>
    <t>PF - Ativos</t>
  </si>
  <si>
    <t>DF</t>
  </si>
  <si>
    <t>PF - Potencial Pagantes</t>
  </si>
  <si>
    <t>GO</t>
  </si>
  <si>
    <t>PF - Inadimplência</t>
  </si>
  <si>
    <t>MS</t>
  </si>
  <si>
    <t>PJ - Quantidade</t>
  </si>
  <si>
    <t>MT</t>
  </si>
  <si>
    <t>PJ - Inadimplência</t>
  </si>
  <si>
    <t>ES</t>
  </si>
  <si>
    <t>RRT - Quantidade</t>
  </si>
  <si>
    <t>MG</t>
  </si>
  <si>
    <t>RJ</t>
  </si>
  <si>
    <t>Dados Geográficos</t>
  </si>
  <si>
    <t>SP</t>
  </si>
  <si>
    <t>População - 2022</t>
  </si>
  <si>
    <t>PR</t>
  </si>
  <si>
    <t>RS</t>
  </si>
  <si>
    <t>SC</t>
  </si>
  <si>
    <t>nº da coluna</t>
  </si>
  <si>
    <t>CAU - BA</t>
  </si>
  <si>
    <t>Conselho de Arquitetura e Urbanismo do Estado da Bahia</t>
  </si>
  <si>
    <t>CNPJ: 15.158.665/0001-03</t>
  </si>
  <si>
    <t>Período: 01/01/2023 a 31/05/2023</t>
  </si>
  <si>
    <t>Demonstrativo de Empenhos e Pagamentos</t>
  </si>
  <si>
    <t>Todos os centros de custos</t>
  </si>
  <si>
    <t>EMPENHOS</t>
  </si>
  <si>
    <t>LIQUIDAÇÕES</t>
  </si>
  <si>
    <t>PAGAMENTOS</t>
  </si>
  <si>
    <t>SALDOS</t>
  </si>
  <si>
    <t>Centro de Custo</t>
  </si>
  <si>
    <t>Orçado</t>
  </si>
  <si>
    <t>Período</t>
  </si>
  <si>
    <t>Orçamento</t>
  </si>
  <si>
    <t>A Liquidar</t>
  </si>
  <si>
    <t>A Pagar</t>
  </si>
  <si>
    <t>PLENÁRIO</t>
  </si>
  <si>
    <t>PLENÁRIO - ATIVIDADES / PROJETOS</t>
  </si>
  <si>
    <t>Plenário - ATIVIDADE - Operacionalização das reuniões institucionais regimentais</t>
  </si>
  <si>
    <t>ATIVIDADE - Reserva de Contingência</t>
  </si>
  <si>
    <t>PROJETO - Semana do Arquiteto</t>
  </si>
  <si>
    <t>PROJETO - Programa de Assistência Técnica</t>
  </si>
  <si>
    <t>PROJETO - Reforma Sede CAU/BA</t>
  </si>
  <si>
    <t>PROJETO - Aquisição de equipamentos</t>
  </si>
  <si>
    <t>PROJETO - Concurso</t>
  </si>
  <si>
    <t>PROJETO - Mudança Sede Definitiva</t>
  </si>
  <si>
    <t>PROJETO - Projeto Inter comissões</t>
  </si>
  <si>
    <t>PROJETO - Patrocínio</t>
  </si>
  <si>
    <t>PRESIDÊNCIA</t>
  </si>
  <si>
    <t>Presidência- ATIVIDADE - Articulação Institucional e fomento de parcerias estratégicas</t>
  </si>
  <si>
    <t>PROJETO - Aquisição Sede CAU-BA</t>
  </si>
  <si>
    <t>PROJETO - Aquisição Carro</t>
  </si>
  <si>
    <t>PROJETO - Eleições</t>
  </si>
  <si>
    <t>COMISSÕES REGIMENTAIS</t>
  </si>
  <si>
    <t>Comissão de Ética e Disciplina</t>
  </si>
  <si>
    <t>Comissão de Ensino e Formação</t>
  </si>
  <si>
    <t>Comissão de Planejamentos e Finanças</t>
  </si>
  <si>
    <t>COMISSÕES ESPECIAIS</t>
  </si>
  <si>
    <t>Comissão Especial de Política Urbana</t>
  </si>
  <si>
    <t>Comissão Especial de Política Profissional</t>
  </si>
  <si>
    <t>ASSESSORIA JURIDICA</t>
  </si>
  <si>
    <t>Atividade - Consultoria e Assessoria Jurídica</t>
  </si>
  <si>
    <t>ASSESSORIA DE COMUNICAÇÃO</t>
  </si>
  <si>
    <t>ATIVIDADE - Comunicação Institucional</t>
  </si>
  <si>
    <t>DIREÇÃO GERAL</t>
  </si>
  <si>
    <t xml:space="preserve">DIRETORIA GERAL </t>
  </si>
  <si>
    <t>ATIVIDADE - Manutenção Institucional</t>
  </si>
  <si>
    <t>ATIVIDADE - APC - Aperfeiçoamento Profissional Continuado</t>
  </si>
  <si>
    <t>ATIVIDADE - Programa de Capacitação dos Colaboradores</t>
  </si>
  <si>
    <t>GERENCIA ADMINISTRATIVA</t>
  </si>
  <si>
    <t>ATIVIDADE - Manutenção Administrativa</t>
  </si>
  <si>
    <t>GERÊNCIA FINANCEIRA</t>
  </si>
  <si>
    <t>ATIVIDADE - Manutenção Financeira</t>
  </si>
  <si>
    <t>ATIVIDADE - Aporte ao Fundo de Apoio</t>
  </si>
  <si>
    <t>ATIVIDADE - CSC -Fiscalização</t>
  </si>
  <si>
    <t>ATIVIDADE - CSC- Atendimento</t>
  </si>
  <si>
    <t>GERÊNCIA TÉCNICA</t>
  </si>
  <si>
    <t>Gerência Técnica - ATIVIDADE - Atendimento a Sociedade no Cumprimento do Plano de Ação</t>
  </si>
  <si>
    <t>GERÊNCIA DE FISCALIZAÇÃO</t>
  </si>
  <si>
    <t>Gerência de Fiscalização - ATIVIDADE - Plano de Fiscalização</t>
  </si>
  <si>
    <t>GERÊNCIA DE ATENDIMENTO</t>
  </si>
  <si>
    <t>Gerência de Atendimento - ATIVIDADE - Atendimento da Sociedade e arquitetos e urbanistas</t>
  </si>
  <si>
    <t>GERÊNCIA DE OPERAÇÕES</t>
  </si>
  <si>
    <t>Gerência de Operações - ATIVIDADE - Operacionalização dos processos éticos e de multa/fiscalização</t>
  </si>
  <si>
    <t>Impresso em: 10/07/2023 10:52</t>
  </si>
  <si>
    <t>Página:1/1</t>
  </si>
  <si>
    <r>
      <t>Objetivos Estratégicos Locais</t>
    </r>
    <r>
      <rPr>
        <b/>
        <sz val="12"/>
        <color rgb="FFFF0000"/>
        <rFont val="Calibri"/>
        <family val="2"/>
      </rPr>
      <t xml:space="preserve"> 
</t>
    </r>
    <r>
      <rPr>
        <b/>
        <sz val="12"/>
        <color rgb="FF008080"/>
        <rFont val="Calibri"/>
        <family val="2"/>
      </rPr>
      <t xml:space="preserve">(mínimo de 6 % do total da RAL)      </t>
    </r>
    <r>
      <rPr>
        <b/>
        <sz val="12"/>
        <color indexed="21"/>
        <rFont val="Calibri"/>
        <family val="2"/>
      </rPr>
      <t xml:space="preserve">                   </t>
    </r>
  </si>
  <si>
    <r>
      <t xml:space="preserve">Assistência Técnica                          
  </t>
    </r>
    <r>
      <rPr>
        <b/>
        <sz val="12"/>
        <color rgb="FF008080"/>
        <rFont val="Calibri"/>
        <family val="2"/>
        <scheme val="minor"/>
      </rPr>
      <t xml:space="preserve">(mínimo de 2% do total da RAL)  </t>
    </r>
    <r>
      <rPr>
        <b/>
        <sz val="12"/>
        <color theme="1"/>
        <rFont val="Calibri"/>
        <family val="2"/>
        <scheme val="minor"/>
      </rPr>
      <t xml:space="preserve">  </t>
    </r>
  </si>
  <si>
    <r>
      <t xml:space="preserve">Reserva de Contingência                        
 </t>
    </r>
    <r>
      <rPr>
        <b/>
        <sz val="12"/>
        <color rgb="FF008080"/>
        <rFont val="Calibri"/>
        <family val="2"/>
      </rPr>
      <t xml:space="preserve">(até 2 % do total da RAL)  </t>
    </r>
    <r>
      <rPr>
        <b/>
        <sz val="12"/>
        <color indexed="21"/>
        <rFont val="Calibri"/>
        <family val="2"/>
      </rPr>
      <t xml:space="preserve">            </t>
    </r>
  </si>
  <si>
    <t>Gerência Financeira</t>
  </si>
  <si>
    <t>Gerência  Financeira</t>
  </si>
  <si>
    <t>Comparativo da Receita</t>
  </si>
  <si>
    <t>Receita</t>
  </si>
  <si>
    <t>Arrec. Periodo</t>
  </si>
  <si>
    <t>Arrec. Exerc.</t>
  </si>
  <si>
    <t>Diferença</t>
  </si>
  <si>
    <t>RECEITA REALIZADA</t>
  </si>
  <si>
    <t xml:space="preserve">RECEITA CORRENTE </t>
  </si>
  <si>
    <t>RECEITAS DE CONTRIBUICOES</t>
  </si>
  <si>
    <t>RECEITA DE CONTRIBUIÇÕES</t>
  </si>
  <si>
    <t>ANUIDADES</t>
  </si>
  <si>
    <t xml:space="preserve">Pessoa Física - do Exercício </t>
  </si>
  <si>
    <t xml:space="preserve">Pessoa Física - do Exercício Anterior  </t>
  </si>
  <si>
    <t>Pessoa Jurídica - do Exercicio</t>
  </si>
  <si>
    <t>Pessoa Jurídica - do Exercício Anterior</t>
  </si>
  <si>
    <t>Pessoa Física - Dívida Ativa Fase Administrativa</t>
  </si>
  <si>
    <t>Pessoa Jurídica - Dívida Ativa Fase Administrativa</t>
  </si>
  <si>
    <t>Pessoa Física - Dívida Ativa Fase Executiva</t>
  </si>
  <si>
    <t>Pessoa Jurídica - Dívida Ativa Fase Executiva</t>
  </si>
  <si>
    <t xml:space="preserve">COTA PARTE </t>
  </si>
  <si>
    <t>Conselho Regional AC</t>
  </si>
  <si>
    <t>Conselho Regional AL</t>
  </si>
  <si>
    <t>Conselho Regional AM</t>
  </si>
  <si>
    <t>Conselho Regional AP</t>
  </si>
  <si>
    <t>Conselho Regional BA</t>
  </si>
  <si>
    <t>Conselho Regional CE</t>
  </si>
  <si>
    <t>Conselho Regional DF</t>
  </si>
  <si>
    <t>Conselho Regional ES</t>
  </si>
  <si>
    <t>Conselho Regional GO</t>
  </si>
  <si>
    <t>Conselho Regional MA</t>
  </si>
  <si>
    <t>Conselho Regional MG</t>
  </si>
  <si>
    <t>Conselho Regional MS</t>
  </si>
  <si>
    <t>Conselho Regional MT</t>
  </si>
  <si>
    <t>Conselho Regional PA</t>
  </si>
  <si>
    <t>Conselho Regional PB</t>
  </si>
  <si>
    <t>Conselho Regional PE</t>
  </si>
  <si>
    <t>Conselho Regional PI</t>
  </si>
  <si>
    <t>Conselho Regional PR</t>
  </si>
  <si>
    <t>Conselho Regional RJ</t>
  </si>
  <si>
    <t>Conselho Regional RN</t>
  </si>
  <si>
    <t>Conselho Regional RO</t>
  </si>
  <si>
    <t>Conselho Regional RR</t>
  </si>
  <si>
    <t>Conselho Regional RS</t>
  </si>
  <si>
    <t>Conselho Regional SC</t>
  </si>
  <si>
    <t>Conselho Regional SE</t>
  </si>
  <si>
    <t>Conselho Regional SP</t>
  </si>
  <si>
    <t>Conselho Regional TO</t>
  </si>
  <si>
    <t xml:space="preserve">Conselho não identificado </t>
  </si>
  <si>
    <t>RECEITA PATRIMONIAL</t>
  </si>
  <si>
    <t xml:space="preserve">RECEITAS IMOBILIÁRIAS </t>
  </si>
  <si>
    <t xml:space="preserve">Aluguéis </t>
  </si>
  <si>
    <t xml:space="preserve">DIVIDENDOS </t>
  </si>
  <si>
    <t xml:space="preserve">Dividendos Recebidos </t>
  </si>
  <si>
    <t>RECEITA DE SERVIÇOS</t>
  </si>
  <si>
    <t xml:space="preserve">EMOLUMENTOS COM INSCRIÇOES </t>
  </si>
  <si>
    <t>Pessoa Física</t>
  </si>
  <si>
    <t>Pessoa Jurídica</t>
  </si>
  <si>
    <t xml:space="preserve">EMOLUMENTOS COM EXPEDIÇÕES DE CARTEIRAS </t>
  </si>
  <si>
    <t xml:space="preserve">EMOLUMENTOS COM EXPEDIÇÕES DE CERTIDÕES </t>
  </si>
  <si>
    <t xml:space="preserve">Pessoa Física - Acervo técnico -  Emolumento com Expedições de Certidões </t>
  </si>
  <si>
    <t>Pessoa Jurídica - Emolumento com Expedições de Certidões</t>
  </si>
  <si>
    <t>Pessoa Física -  Expedição de Certidão com Atestado - Atividade no Exterior</t>
  </si>
  <si>
    <t>Pessoa Física -  Expedição de Certidão - Atividade no Exterior</t>
  </si>
  <si>
    <t>EMOLUMENTOS COM EXPEDIÇÕES DE CERTIFICADOS</t>
  </si>
  <si>
    <t>EMOLUMENTOS COM REGISTRO DE RESPONSABILIDADE TÉCNICA - RRT</t>
  </si>
  <si>
    <t xml:space="preserve">Pessoa Jurídica - RRT </t>
  </si>
  <si>
    <t>Pessoa Física - RRT</t>
  </si>
  <si>
    <t xml:space="preserve">Multa -RRT Extemporâneo </t>
  </si>
  <si>
    <t>Pessoa Física - Taxa Expediente - RRT Exterior</t>
  </si>
  <si>
    <t>Pessoa Física - RRT Extemporâneo</t>
  </si>
  <si>
    <t>Pessoa Física - Taxa Expediente - RRT Extemporâneo</t>
  </si>
  <si>
    <t>Pessoa Física - RRT Exterior</t>
  </si>
  <si>
    <t>EMOLUMENTOS COM REGISTRO DE DIREITO AUTORAL</t>
  </si>
  <si>
    <t>Registro de Direito Autoral</t>
  </si>
  <si>
    <t>RECEITAS DIVERSAS DE SERVIÇOS</t>
  </si>
  <si>
    <t xml:space="preserve">Revistas </t>
  </si>
  <si>
    <t xml:space="preserve">Livros </t>
  </si>
  <si>
    <t xml:space="preserve">Publicações Diversas </t>
  </si>
  <si>
    <t xml:space="preserve">Botons </t>
  </si>
  <si>
    <t>Selo Certificador</t>
  </si>
  <si>
    <t xml:space="preserve">Publicidade </t>
  </si>
  <si>
    <t xml:space="preserve">Custas Processuais </t>
  </si>
  <si>
    <t xml:space="preserve">Direitos Autorais </t>
  </si>
  <si>
    <t xml:space="preserve">Inscrições </t>
  </si>
  <si>
    <t xml:space="preserve">Recuperação Com Custos de Cobrança </t>
  </si>
  <si>
    <t xml:space="preserve">Recuperação de Despesas Postais </t>
  </si>
  <si>
    <t xml:space="preserve">Fotocópias </t>
  </si>
  <si>
    <t>Locação e Administração de Bens Imóveis</t>
  </si>
  <si>
    <t>Reativação de Registro</t>
  </si>
  <si>
    <t xml:space="preserve">FINANCEIRAS </t>
  </si>
  <si>
    <t>JUROS E ENCARGOS DE EMPRÉSTIMOS CONCEDIDOS</t>
  </si>
  <si>
    <t xml:space="preserve">Juros Sobre Empréstimos </t>
  </si>
  <si>
    <t xml:space="preserve">Encargos Sobre Empréstimos </t>
  </si>
  <si>
    <t xml:space="preserve">JUROS DE MORA SOBRE ANUIDADES </t>
  </si>
  <si>
    <t>Pessoas Físicas - Tx Selic Projetada PF</t>
  </si>
  <si>
    <t>Pessoas Jurídicas - Tx Selic Projetada PJ</t>
  </si>
  <si>
    <t>Dívida Ativa - Tx Selic PF</t>
  </si>
  <si>
    <t xml:space="preserve">Pessoas Jurídicas - Tx Selic Dívida Ativa </t>
  </si>
  <si>
    <t>Pessoas Físicas - Tx Seleic</t>
  </si>
  <si>
    <t>Pessoas Jurídica - Tx Selic</t>
  </si>
  <si>
    <t>Pessoas Físicas - Tx Selic mês 1%</t>
  </si>
  <si>
    <t>Pessoas Jurídicas - Tx Selic mês 1%</t>
  </si>
  <si>
    <t>Divida Ativa - Tx Selic Projetada PF</t>
  </si>
  <si>
    <t>Pessoas Jurídicas  Dívida Ativa - Tx Selic Projetada</t>
  </si>
  <si>
    <t>Pessoas Físicas  Dívida Ativa - Tx Selic 1%</t>
  </si>
  <si>
    <t>Pessoas Jurídicas  Dívida Ativa - Tx  Selic</t>
  </si>
  <si>
    <t xml:space="preserve">JUROS DE MORA SOBRE MULTAS DE INFRAÇÕES </t>
  </si>
  <si>
    <t>Pessoas Físicas</t>
  </si>
  <si>
    <t>Pessoas Jurídicas</t>
  </si>
  <si>
    <t>Pessoas Físicas - Dívida Ativa - Multa Ética - Tx Selic</t>
  </si>
  <si>
    <t>Pessoas Físicas - Dívida Ativa - Multa Ética- Tx Selic 1%</t>
  </si>
  <si>
    <t>Documento de Fiscalização - Tx Selic</t>
  </si>
  <si>
    <t xml:space="preserve"> Dívida Ativa  Documento de Fiscalização - Taxa Selic </t>
  </si>
  <si>
    <t xml:space="preserve"> Dívida Ativa  Documento de Fiscalização - Taxa Selic  1%</t>
  </si>
  <si>
    <t xml:space="preserve">ATUALIZAÇÃO MONETÁRIA </t>
  </si>
  <si>
    <t xml:space="preserve">ATUALIZAÇÃO MONETÁRIA SOBRE ANUIDADES </t>
  </si>
  <si>
    <t xml:space="preserve">ATUALIZAÇÃO MONETÁRIA SOBRE MULTAS DE INFRAÇÕES </t>
  </si>
  <si>
    <t xml:space="preserve">MULTAS SOBRE ANUIDADES </t>
  </si>
  <si>
    <t>Pessoas Físicas - Multas s/ anuidades</t>
  </si>
  <si>
    <t>Pessoas Jurídicas - Multas s/ anuidades</t>
  </si>
  <si>
    <t>Pessoa Física Multa Mora - Dívida Ativa</t>
  </si>
  <si>
    <t>Pessoa Jurídica Multa Mora - Dívida Ativa</t>
  </si>
  <si>
    <t xml:space="preserve">REMUNERAÇÃO DE DEP. BANC. E APLICAÇÕES FINANCEIRAS </t>
  </si>
  <si>
    <t>CDB/RDB - Titulos de Renda Fixa</t>
  </si>
  <si>
    <t>Títulos do Tesouro Nacional</t>
  </si>
  <si>
    <t xml:space="preserve">Poupança </t>
  </si>
  <si>
    <t>Fundos de Investimentos Lastreados em Títulos do Tesouro Nacional</t>
  </si>
  <si>
    <t>TRANSFERENCIAS CORRENTES</t>
  </si>
  <si>
    <t>Transferencias Intragovernamentais</t>
  </si>
  <si>
    <t>Transferencias Intergovernamentais</t>
  </si>
  <si>
    <t>Transferencias de Inst. Privadas</t>
  </si>
  <si>
    <t>Transferências de Pessoas Físicias</t>
  </si>
  <si>
    <t>OUTRAS RECEITAS CORRENTES</t>
  </si>
  <si>
    <t>DÍVIDA ATIVA</t>
  </si>
  <si>
    <t>Tributária (Anuidades)</t>
  </si>
  <si>
    <t>Não Tributária (Multas Disc. Leis 5194/66 e 6496/77)</t>
  </si>
  <si>
    <t xml:space="preserve">MULTAS DE INFRAÇÕES </t>
  </si>
  <si>
    <t>Pessoas Físicas - Multa por Ausência em Eleição</t>
  </si>
  <si>
    <t>Documento de Fiscalização  - Multas de Infrações</t>
  </si>
  <si>
    <t xml:space="preserve">Pessoas Físicas - Multa Ética </t>
  </si>
  <si>
    <t xml:space="preserve">Pessoas Físicas - Multa de Denúncia Eleitoral </t>
  </si>
  <si>
    <t xml:space="preserve">Pessoas Físicas - Dívida Ativa Multa Ética </t>
  </si>
  <si>
    <t xml:space="preserve">Documento de Fiscalização - Divida Ativa </t>
  </si>
  <si>
    <t xml:space="preserve">INDENIZAÇÕES E RESTITUIÇÕES </t>
  </si>
  <si>
    <t xml:space="preserve">Indenizações </t>
  </si>
  <si>
    <t xml:space="preserve">Restituições </t>
  </si>
  <si>
    <t xml:space="preserve">RECEITAS NÃO IDENTIFICADAS </t>
  </si>
  <si>
    <t>Receitas Não Identificadas</t>
  </si>
  <si>
    <t>DÍVIDA ATIVA - HONORÁRIOS - CUSTAS JUDICIAIS</t>
  </si>
  <si>
    <t>Dívida Ativa - Honorários</t>
  </si>
  <si>
    <t>Dívida Ativa - Custas Judiciais</t>
  </si>
  <si>
    <t>RECEITA DE CAPITAL</t>
  </si>
  <si>
    <t>OPERAÇÕES DE CREDITO</t>
  </si>
  <si>
    <t xml:space="preserve">EMPRÉSTIMOS TOMADOS </t>
  </si>
  <si>
    <t xml:space="preserve">EMPRÉSTIMOS para Despesas de Custeio </t>
  </si>
  <si>
    <t xml:space="preserve">Empréstimos P/ Aquisição, Constr. e Reforma de Sede </t>
  </si>
  <si>
    <t>ALIENACAO DE BENS</t>
  </si>
  <si>
    <t xml:space="preserve">ALIENAÇÕES DE BENS MÓVEIS </t>
  </si>
  <si>
    <t xml:space="preserve">Móveis e Utensílios de Escritórios </t>
  </si>
  <si>
    <t xml:space="preserve">Máquinas e Equipamentos </t>
  </si>
  <si>
    <t xml:space="preserve">Instalações </t>
  </si>
  <si>
    <t xml:space="preserve">Utensílios de Copa e Cozinha </t>
  </si>
  <si>
    <t xml:space="preserve">Veículos </t>
  </si>
  <si>
    <t xml:space="preserve">Equipamentos de Processamento de Dados </t>
  </si>
  <si>
    <t xml:space="preserve">Sistemas de Processamento de Dados </t>
  </si>
  <si>
    <t xml:space="preserve">Biblioteca </t>
  </si>
  <si>
    <t xml:space="preserve">Obras de Arte </t>
  </si>
  <si>
    <t xml:space="preserve">ALIENAÇÕES DE BENS IMÓVEIS </t>
  </si>
  <si>
    <t xml:space="preserve">Edifícios </t>
  </si>
  <si>
    <t xml:space="preserve">Terrenos </t>
  </si>
  <si>
    <t xml:space="preserve">Salas </t>
  </si>
  <si>
    <t xml:space="preserve">ALIENAÇÕES DE TÍTULOS E AÇÕES </t>
  </si>
  <si>
    <t xml:space="preserve">Títulos de Renda </t>
  </si>
  <si>
    <t xml:space="preserve">Ações </t>
  </si>
  <si>
    <t>AMORTIZACAO DE EMPRESTIMO</t>
  </si>
  <si>
    <t>Amortizacao de Emprest. a Orgaos de Fisc. de Exerc</t>
  </si>
  <si>
    <t>OUTRAS AMORTIZACOES EMPREST. A ENTIDADES PÚBLICAS</t>
  </si>
  <si>
    <t>EMPRÉSTIMOS para Despesas de Custeio</t>
  </si>
  <si>
    <t>TRANSFERÊNCIAS DE CAPITAL</t>
  </si>
  <si>
    <t>TRANSFERÊNCIAS</t>
  </si>
  <si>
    <t>Auxílio A</t>
  </si>
  <si>
    <t>OUTRAS RECEITAS DE CAPITAL</t>
  </si>
  <si>
    <t>SUPERÁVIT DO EXERCÍCIO CORRENTE</t>
  </si>
  <si>
    <t>SALDO DE EXERCÍCIOS ANTERIORES (Superávit do Orçamento Corrente)</t>
  </si>
  <si>
    <t>Total:</t>
  </si>
  <si>
    <t>Impresso em: 10/07/2023 11:21</t>
  </si>
  <si>
    <t>Evite imprimir. Colabore com o meio ambiente.</t>
  </si>
  <si>
    <t>Fomento a ações que buscam promover melhorias da prática profissional e política urbana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</si>
</sst>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8" formatCode="&quot;R$&quot;\ #,##0.00;[Red]\-&quot;R$&quot;\ #,##0.00"/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&quot;R$&quot;#,##0.00;[Red]\-&quot;R$&quot;#,##0.00"/>
    <numFmt numFmtId="165" formatCode="_(* #,##0.00_);_(* \(#,##0.00\);_(* &quot;-&quot;??_);_(@_)"/>
    <numFmt numFmtId="166" formatCode="0.0"/>
    <numFmt numFmtId="167" formatCode="0.0%"/>
    <numFmt numFmtId="168" formatCode="_-* #,##0_-;\-* #,##0_-;_-* &quot;-&quot;??_-;_-@_-"/>
    <numFmt numFmtId="169" formatCode="_(* #,##0_);_(* \(#,##0\);_(* &quot;-&quot;??_);_(@_)"/>
    <numFmt numFmtId="170" formatCode="_(* #,##0.0_);_(* \(#,##0.0\);_(* &quot;-&quot;??_);_(@_)"/>
    <numFmt numFmtId="171" formatCode="_-* #,##0.0_-;\-* #,##0.0_-;_-* &quot;-&quot;_-;_-@_-"/>
    <numFmt numFmtId="172" formatCode="_-&quot;R$&quot;\ * #,##0_-;\-&quot;R$&quot;\ * #,##0_-;_-&quot;R$&quot;\ * &quot;-&quot;??_-;_-@_-"/>
    <numFmt numFmtId="173" formatCode="#,##0.0_ ;\-#,##0.0\ "/>
    <numFmt numFmtId="174" formatCode="_-* #,##0.00_-;\-* #,##0.00_-;_-* &quot;-&quot;_-;_-@_-"/>
    <numFmt numFmtId="175" formatCode="&quot;R$&quot;#,##0.00"/>
    <numFmt numFmtId="176" formatCode="&quot;R$&quot;#,##0.0000;[Red]\-&quot;R$&quot;#,##0.0000"/>
    <numFmt numFmtId="177" formatCode="&quot;R$&quot;\ #,##0.000000;[Red]\-&quot;R$&quot;\ #,##0.000000"/>
    <numFmt numFmtId="178" formatCode="&quot;R$&quot;\ #,##0.000000000000000000;[Red]\-&quot;R$&quot;\ #,##0.000000000000000000"/>
    <numFmt numFmtId="179" formatCode="&quot;R$&quot;\ #,##0.00"/>
    <numFmt numFmtId="180" formatCode="&quot;R$&quot;\ #,##0.000000000000000000000;[Red]\-&quot;R$&quot;\ #,##0.000000000000000000000"/>
    <numFmt numFmtId="181" formatCode="&quot;R$&quot;\ #,##0.0000000000000000;[Red]\-&quot;R$&quot;\ #,##0.0000000000000000"/>
    <numFmt numFmtId="182" formatCode="_(* #,##0.00000000000000000000_);_(* \(#,##0.00000000000000000000\);_(* &quot;-&quot;??_);_(@_)"/>
  </numFmts>
  <fonts count="8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3"/>
      <color indexed="81"/>
      <name val="Tahoma"/>
      <family val="2"/>
    </font>
    <font>
      <b/>
      <sz val="13"/>
      <color indexed="81"/>
      <name val="Tahoma"/>
      <family val="2"/>
    </font>
    <font>
      <b/>
      <sz val="11"/>
      <color indexed="81"/>
      <name val="Tahoma"/>
      <family val="2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b/>
      <sz val="12"/>
      <color rgb="FF000000"/>
      <name val="Calibri"/>
      <family val="2"/>
    </font>
    <font>
      <sz val="11"/>
      <color rgb="FF000000"/>
      <name val="Calibri"/>
      <family val="2"/>
      <charset val="1"/>
    </font>
    <font>
      <sz val="12"/>
      <color rgb="FFFF0000"/>
      <name val="Calibri"/>
      <family val="2"/>
      <scheme val="minor"/>
    </font>
    <font>
      <b/>
      <sz val="14"/>
      <color indexed="81"/>
      <name val="Tahoma"/>
      <family val="2"/>
    </font>
    <font>
      <sz val="11"/>
      <color rgb="FF000000"/>
      <name val="Calibri"/>
      <family val="2"/>
    </font>
    <font>
      <b/>
      <sz val="14"/>
      <color indexed="81"/>
      <name val="Segoe UI"/>
      <family val="2"/>
    </font>
    <font>
      <sz val="8"/>
      <name val="Calibri"/>
      <family val="2"/>
      <scheme val="minor"/>
    </font>
    <font>
      <b/>
      <sz val="12"/>
      <color theme="1"/>
      <name val="Calibri"/>
      <family val="2"/>
    </font>
    <font>
      <b/>
      <sz val="12"/>
      <color theme="0"/>
      <name val="Calibri"/>
      <family val="2"/>
      <scheme val="minor"/>
    </font>
    <font>
      <sz val="12"/>
      <color theme="1" tint="0.499984740745262"/>
      <name val="Calibri"/>
      <family val="2"/>
      <scheme val="minor"/>
    </font>
    <font>
      <sz val="12"/>
      <color indexed="81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0"/>
      <name val="Arial Narrow"/>
      <family val="2"/>
    </font>
    <font>
      <sz val="12"/>
      <color theme="1"/>
      <name val="Arial"/>
      <family val="2"/>
    </font>
    <font>
      <b/>
      <i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  <font>
      <b/>
      <sz val="12"/>
      <color rgb="FF008080"/>
      <name val="Calibri"/>
      <family val="2"/>
    </font>
    <font>
      <b/>
      <sz val="12"/>
      <color rgb="FF009999"/>
      <name val="Calibri"/>
      <family val="2"/>
    </font>
    <font>
      <b/>
      <sz val="12"/>
      <color indexed="8"/>
      <name val="Calibri"/>
      <family val="2"/>
    </font>
    <font>
      <b/>
      <sz val="12"/>
      <color rgb="FF008080"/>
      <name val="Calibri"/>
      <family val="2"/>
      <scheme val="minor"/>
    </font>
    <font>
      <b/>
      <sz val="12"/>
      <color indexed="57"/>
      <name val="Calibri"/>
      <family val="2"/>
    </font>
    <font>
      <b/>
      <sz val="12"/>
      <color indexed="21"/>
      <name val="Calibri"/>
      <family val="2"/>
    </font>
    <font>
      <b/>
      <sz val="12"/>
      <color indexed="10"/>
      <name val="Calibri"/>
      <family val="2"/>
    </font>
    <font>
      <b/>
      <sz val="12"/>
      <color rgb="FFFF0000"/>
      <name val="Calibri"/>
      <family val="2"/>
    </font>
    <font>
      <b/>
      <sz val="12"/>
      <color rgb="FFFF0000"/>
      <name val="Calibri"/>
      <family val="2"/>
      <scheme val="minor"/>
    </font>
    <font>
      <b/>
      <sz val="12"/>
      <color rgb="FFFFFFFF"/>
      <name val="Calibri"/>
      <family val="2"/>
    </font>
    <font>
      <b/>
      <sz val="12"/>
      <name val="Calibri"/>
      <family val="2"/>
    </font>
    <font>
      <sz val="12"/>
      <color rgb="FF2F5597"/>
      <name val="Calibri"/>
      <family val="2"/>
      <scheme val="minor"/>
    </font>
    <font>
      <b/>
      <sz val="12"/>
      <color theme="0"/>
      <name val="Calibri"/>
      <family val="2"/>
    </font>
    <font>
      <b/>
      <i/>
      <sz val="12"/>
      <color rgb="FFFF0000"/>
      <name val="Calibri"/>
      <family val="2"/>
      <scheme val="minor"/>
    </font>
    <font>
      <sz val="11"/>
      <color indexed="81"/>
      <name val="Tahoma"/>
      <family val="2"/>
    </font>
    <font>
      <b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8"/>
      <color theme="1"/>
      <name val="Arial"/>
      <family val="2"/>
    </font>
    <font>
      <sz val="18"/>
      <color theme="1"/>
      <name val="Calibri"/>
      <family val="2"/>
      <scheme val="minor"/>
    </font>
    <font>
      <sz val="12"/>
      <color rgb="FFFF0000"/>
      <name val="Arial"/>
      <family val="2"/>
    </font>
    <font>
      <sz val="10"/>
      <color theme="1"/>
      <name val="Calibri"/>
      <family val="2"/>
      <scheme val="minor"/>
    </font>
    <font>
      <b/>
      <sz val="12"/>
      <color theme="1" tint="0.499984740745262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9"/>
      <color indexed="81"/>
      <name val="Segoe UI"/>
      <charset val="1"/>
    </font>
    <font>
      <sz val="9"/>
      <color indexed="81"/>
      <name val="Segoe UI"/>
      <charset val="1"/>
    </font>
    <font>
      <sz val="18"/>
      <color rgb="FF434343"/>
      <name val="Tahoma"/>
      <family val="2"/>
    </font>
    <font>
      <sz val="12"/>
      <color rgb="FF434343"/>
      <name val="Tahoma"/>
      <family val="2"/>
    </font>
    <font>
      <sz val="9"/>
      <color rgb="FF000000"/>
      <name val="Times New Roman"/>
      <family val="1"/>
    </font>
    <font>
      <sz val="9"/>
      <color rgb="FF000000"/>
      <name val="Tahoma"/>
      <family val="2"/>
    </font>
    <font>
      <sz val="14"/>
      <color rgb="FF434343"/>
      <name val="Tahoma"/>
      <family val="2"/>
    </font>
    <font>
      <sz val="11"/>
      <color rgb="FF434343"/>
      <name val="Tahoma"/>
      <family val="2"/>
    </font>
    <font>
      <b/>
      <sz val="9"/>
      <color rgb="FFFFFFFF"/>
      <name val="Tahoma"/>
      <family val="2"/>
    </font>
    <font>
      <sz val="8"/>
      <color rgb="FF000000"/>
      <name val="Tahoma"/>
      <family val="2"/>
    </font>
    <font>
      <sz val="7"/>
      <color rgb="FF000000"/>
      <name val="Tahoma"/>
      <family val="2"/>
    </font>
    <font>
      <sz val="8"/>
      <color rgb="FF434343"/>
      <name val="Tahoma"/>
      <family val="2"/>
    </font>
    <font>
      <sz val="7"/>
      <name val="Tahoma"/>
      <family val="2"/>
    </font>
    <font>
      <sz val="8"/>
      <name val="Tahoma"/>
      <family val="2"/>
    </font>
    <font>
      <sz val="18"/>
      <color rgb="FF434343"/>
      <name val="Tahoma"/>
    </font>
    <font>
      <sz val="12"/>
      <color rgb="FF434343"/>
      <name val="Tahoma"/>
    </font>
    <font>
      <b/>
      <sz val="9"/>
      <color rgb="FF000000"/>
      <name val="Tahoma"/>
    </font>
    <font>
      <b/>
      <sz val="6"/>
      <color rgb="FF434343"/>
      <name val="Tahoma"/>
    </font>
    <font>
      <sz val="15"/>
      <color rgb="FF434343"/>
      <name val="Tahoma"/>
    </font>
    <font>
      <b/>
      <sz val="9"/>
      <color rgb="FFFFFFFF"/>
      <name val="Tahoma"/>
    </font>
    <font>
      <sz val="8"/>
      <color rgb="FF434343"/>
      <name val="Tahoma"/>
    </font>
    <font>
      <b/>
      <sz val="8"/>
      <color rgb="FF000000"/>
      <name val="Tahoma"/>
    </font>
    <font>
      <sz val="9"/>
      <color rgb="FF000000"/>
      <name val="Tahoma"/>
    </font>
    <font>
      <sz val="8"/>
      <color rgb="FFFF0000"/>
      <name val="Tahoma"/>
      <family val="2"/>
    </font>
    <font>
      <sz val="15"/>
      <color theme="1"/>
      <name val="Calibri"/>
      <family val="2"/>
      <scheme val="minor"/>
    </font>
  </fonts>
  <fills count="3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0"/>
        <bgColor rgb="FFF2F2F2"/>
      </patternFill>
    </fill>
    <fill>
      <patternFill patternType="solid">
        <fgColor theme="0"/>
        <bgColor rgb="FF000000"/>
      </patternFill>
    </fill>
    <fill>
      <patternFill patternType="solid">
        <fgColor rgb="FF2A566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/>
        <bgColor rgb="FF000000"/>
      </patternFill>
    </fill>
    <fill>
      <patternFill patternType="solid">
        <fgColor rgb="FFFF6900"/>
        <bgColor indexed="64"/>
      </patternFill>
    </fill>
    <fill>
      <patternFill patternType="solid">
        <fgColor theme="5"/>
        <bgColor rgb="FF000000"/>
      </patternFill>
    </fill>
    <fill>
      <patternFill patternType="solid">
        <fgColor rgb="FFFF6900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6666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darkGrid"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4682B4"/>
      </patternFill>
    </fill>
    <fill>
      <patternFill patternType="solid">
        <fgColor rgb="FFEAEAEA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rgb="FFFFFFFF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rgb="FFE5E5E5"/>
      </left>
      <right style="thin">
        <color rgb="FFE5E5E5"/>
      </right>
      <top style="thin">
        <color rgb="FFE5E5E5"/>
      </top>
      <bottom/>
      <diagonal/>
    </border>
    <border>
      <left/>
      <right style="thin">
        <color rgb="FFE5E5E5"/>
      </right>
      <top style="thin">
        <color rgb="FFE5E5E5"/>
      </top>
      <bottom style="thin">
        <color rgb="FFE5E5E5"/>
      </bottom>
      <diagonal/>
    </border>
    <border>
      <left style="thin">
        <color rgb="FFE5E5E5"/>
      </left>
      <right/>
      <top/>
      <bottom/>
      <diagonal/>
    </border>
    <border>
      <left/>
      <right style="thin">
        <color rgb="FFE5E5E5"/>
      </right>
      <top/>
      <bottom/>
      <diagonal/>
    </border>
    <border>
      <left style="thin">
        <color rgb="FFE5E5E5"/>
      </left>
      <right style="thin">
        <color rgb="FFE5E5E5"/>
      </right>
      <top style="thin">
        <color rgb="FFE5E5E5"/>
      </top>
      <bottom style="thin">
        <color rgb="FFE5E5E5"/>
      </bottom>
      <diagonal/>
    </border>
  </borders>
  <cellStyleXfs count="19">
    <xf numFmtId="0" fontId="0" fillId="0" borderId="0"/>
    <xf numFmtId="0" fontId="5" fillId="6" borderId="0" applyNumberFormat="0" applyBorder="0" applyAlignment="0" applyProtection="0"/>
    <xf numFmtId="0" fontId="6" fillId="7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5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5" fillId="0" borderId="0"/>
    <xf numFmtId="0" fontId="1" fillId="0" borderId="0"/>
    <xf numFmtId="44" fontId="1" fillId="0" borderId="0" applyFont="0" applyFill="0" applyBorder="0" applyAlignment="0" applyProtection="0"/>
    <xf numFmtId="172" fontId="15" fillId="0" borderId="0" applyBorder="0" applyProtection="0"/>
    <xf numFmtId="165" fontId="1" fillId="0" borderId="0" applyFont="0" applyFill="0" applyBorder="0" applyAlignment="0" applyProtection="0"/>
    <xf numFmtId="0" fontId="1" fillId="0" borderId="0"/>
  </cellStyleXfs>
  <cellXfs count="538">
    <xf numFmtId="0" fontId="0" fillId="0" borderId="0" xfId="0"/>
    <xf numFmtId="0" fontId="2" fillId="2" borderId="0" xfId="0" applyFont="1" applyFill="1" applyAlignment="1">
      <alignment horizontal="center" vertical="center" textRotation="90"/>
    </xf>
    <xf numFmtId="0" fontId="2" fillId="2" borderId="0" xfId="0" applyFont="1" applyFill="1" applyAlignment="1">
      <alignment horizontal="center" vertical="center" wrapText="1" readingOrder="1"/>
    </xf>
    <xf numFmtId="0" fontId="2" fillId="2" borderId="0" xfId="0" applyFont="1" applyFill="1" applyAlignment="1">
      <alignment vertical="center" wrapText="1" readingOrder="1"/>
    </xf>
    <xf numFmtId="0" fontId="2" fillId="2" borderId="1" xfId="0" applyFont="1" applyFill="1" applyBorder="1" applyAlignment="1">
      <alignment vertical="center" wrapText="1"/>
    </xf>
    <xf numFmtId="166" fontId="2" fillId="2" borderId="1" xfId="0" applyNumberFormat="1" applyFont="1" applyFill="1" applyBorder="1" applyAlignment="1">
      <alignment vertical="center" wrapText="1"/>
    </xf>
    <xf numFmtId="171" fontId="14" fillId="10" borderId="1" xfId="0" applyNumberFormat="1" applyFont="1" applyFill="1" applyBorder="1" applyAlignment="1">
      <alignment vertical="center" wrapText="1"/>
    </xf>
    <xf numFmtId="0" fontId="21" fillId="12" borderId="14" xfId="0" applyFont="1" applyFill="1" applyBorder="1" applyAlignment="1">
      <alignment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3" fillId="0" borderId="0" xfId="0" applyFont="1" applyAlignment="1">
      <alignment vertical="center" wrapText="1"/>
    </xf>
    <xf numFmtId="0" fontId="22" fillId="14" borderId="1" xfId="0" applyFont="1" applyFill="1" applyBorder="1" applyAlignment="1">
      <alignment horizontal="left" vertical="center" wrapText="1"/>
    </xf>
    <xf numFmtId="0" fontId="22" fillId="14" borderId="1" xfId="0" applyFont="1" applyFill="1" applyBorder="1" applyAlignment="1">
      <alignment horizontal="center" vertical="center" wrapText="1"/>
    </xf>
    <xf numFmtId="41" fontId="22" fillId="14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 applyProtection="1">
      <alignment horizontal="left" vertical="center" wrapText="1"/>
      <protection locked="0"/>
    </xf>
    <xf numFmtId="0" fontId="3" fillId="2" borderId="1" xfId="0" applyFont="1" applyFill="1" applyBorder="1" applyAlignment="1" applyProtection="1">
      <alignment horizontal="center" vertical="center" wrapText="1"/>
      <protection locked="0"/>
    </xf>
    <xf numFmtId="0" fontId="3" fillId="2" borderId="1" xfId="0" applyFont="1" applyFill="1" applyBorder="1" applyAlignment="1" applyProtection="1">
      <alignment vertical="center" wrapText="1"/>
      <protection locked="0"/>
    </xf>
    <xf numFmtId="0" fontId="23" fillId="0" borderId="0" xfId="0" applyFont="1" applyAlignment="1">
      <alignment horizontal="center" vertical="center"/>
    </xf>
    <xf numFmtId="170" fontId="22" fillId="14" borderId="1" xfId="4" applyNumberFormat="1" applyFont="1" applyFill="1" applyBorder="1" applyAlignment="1">
      <alignment vertical="center" wrapText="1"/>
    </xf>
    <xf numFmtId="164" fontId="3" fillId="2" borderId="1" xfId="4" applyNumberFormat="1" applyFont="1" applyFill="1" applyBorder="1" applyAlignment="1" applyProtection="1">
      <alignment vertical="center" wrapText="1"/>
      <protection locked="0"/>
    </xf>
    <xf numFmtId="164" fontId="22" fillId="14" borderId="1" xfId="4" applyNumberFormat="1" applyFont="1" applyFill="1" applyBorder="1" applyAlignment="1">
      <alignment vertical="center" wrapText="1"/>
    </xf>
    <xf numFmtId="0" fontId="25" fillId="0" borderId="0" xfId="0" applyFont="1" applyAlignment="1">
      <alignment vertical="center" wrapText="1"/>
    </xf>
    <xf numFmtId="0" fontId="3" fillId="0" borderId="0" xfId="0" applyFont="1"/>
    <xf numFmtId="165" fontId="3" fillId="9" borderId="1" xfId="4" applyFont="1" applyFill="1" applyBorder="1" applyAlignment="1">
      <alignment horizontal="right" vertical="center" wrapText="1"/>
    </xf>
    <xf numFmtId="168" fontId="2" fillId="2" borderId="0" xfId="4" applyNumberFormat="1" applyFont="1" applyFill="1" applyBorder="1" applyAlignment="1">
      <alignment horizontal="left" vertical="center" wrapText="1"/>
    </xf>
    <xf numFmtId="0" fontId="4" fillId="15" borderId="0" xfId="0" applyFont="1" applyFill="1" applyAlignment="1">
      <alignment vertical="center"/>
    </xf>
    <xf numFmtId="0" fontId="30" fillId="2" borderId="0" xfId="0" applyFont="1" applyFill="1" applyAlignment="1">
      <alignment vertical="center"/>
    </xf>
    <xf numFmtId="0" fontId="30" fillId="2" borderId="0" xfId="1" applyFont="1" applyFill="1" applyAlignment="1">
      <alignment vertical="center"/>
    </xf>
    <xf numFmtId="0" fontId="30" fillId="2" borderId="0" xfId="2" applyFont="1" applyFill="1" applyAlignment="1">
      <alignment vertical="center"/>
    </xf>
    <xf numFmtId="0" fontId="27" fillId="14" borderId="1" xfId="0" applyFont="1" applyFill="1" applyBorder="1" applyAlignment="1">
      <alignment horizontal="center" vertical="center" wrapText="1"/>
    </xf>
    <xf numFmtId="0" fontId="33" fillId="0" borderId="0" xfId="0" applyFont="1" applyAlignment="1">
      <alignment vertical="center"/>
    </xf>
    <xf numFmtId="0" fontId="31" fillId="0" borderId="0" xfId="1" applyFont="1" applyFill="1" applyAlignment="1">
      <alignment vertical="center"/>
    </xf>
    <xf numFmtId="0" fontId="32" fillId="3" borderId="1" xfId="0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horizontal="left" vertical="center" wrapText="1"/>
    </xf>
    <xf numFmtId="165" fontId="32" fillId="3" borderId="1" xfId="4" applyFont="1" applyFill="1" applyBorder="1" applyAlignment="1">
      <alignment horizontal="right" vertical="center" wrapText="1"/>
    </xf>
    <xf numFmtId="165" fontId="32" fillId="0" borderId="1" xfId="4" applyFont="1" applyFill="1" applyBorder="1" applyAlignment="1">
      <alignment horizontal="right" vertical="center" wrapText="1"/>
    </xf>
    <xf numFmtId="165" fontId="32" fillId="9" borderId="1" xfId="4" applyFont="1" applyFill="1" applyBorder="1" applyAlignment="1">
      <alignment horizontal="right" vertical="center" wrapText="1"/>
    </xf>
    <xf numFmtId="170" fontId="32" fillId="9" borderId="1" xfId="4" applyNumberFormat="1" applyFont="1" applyFill="1" applyBorder="1" applyAlignment="1">
      <alignment horizontal="right" vertical="center" wrapText="1"/>
    </xf>
    <xf numFmtId="41" fontId="32" fillId="0" borderId="1" xfId="4" applyNumberFormat="1" applyFont="1" applyFill="1" applyBorder="1" applyAlignment="1">
      <alignment horizontal="right" vertical="center" wrapText="1"/>
    </xf>
    <xf numFmtId="165" fontId="25" fillId="14" borderId="1" xfId="4" applyFont="1" applyFill="1" applyBorder="1" applyAlignment="1">
      <alignment horizontal="right" vertical="center" wrapText="1"/>
    </xf>
    <xf numFmtId="165" fontId="22" fillId="14" borderId="1" xfId="4" applyFont="1" applyFill="1" applyBorder="1" applyAlignment="1">
      <alignment horizontal="right" vertical="center" wrapText="1"/>
    </xf>
    <xf numFmtId="37" fontId="3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center"/>
    </xf>
    <xf numFmtId="170" fontId="22" fillId="14" borderId="1" xfId="4" applyNumberFormat="1" applyFont="1" applyFill="1" applyBorder="1" applyAlignment="1">
      <alignment horizontal="right" vertical="center" wrapText="1"/>
    </xf>
    <xf numFmtId="41" fontId="2" fillId="2" borderId="0" xfId="0" applyNumberFormat="1" applyFont="1" applyFill="1" applyAlignment="1">
      <alignment horizontal="center" vertical="center" wrapText="1"/>
    </xf>
    <xf numFmtId="169" fontId="2" fillId="3" borderId="1" xfId="4" applyNumberFormat="1" applyFont="1" applyFill="1" applyBorder="1" applyAlignment="1" applyProtection="1">
      <alignment horizontal="left" vertical="center" wrapText="1"/>
    </xf>
    <xf numFmtId="170" fontId="2" fillId="3" borderId="1" xfId="4" applyNumberFormat="1" applyFont="1" applyFill="1" applyBorder="1" applyAlignment="1" applyProtection="1">
      <alignment horizontal="left" vertical="center" wrapText="1"/>
    </xf>
    <xf numFmtId="167" fontId="2" fillId="2" borderId="0" xfId="3" applyNumberFormat="1" applyFont="1" applyFill="1" applyBorder="1" applyAlignment="1">
      <alignment horizontal="left" vertical="center" wrapText="1"/>
    </xf>
    <xf numFmtId="41" fontId="2" fillId="2" borderId="1" xfId="0" applyNumberFormat="1" applyFont="1" applyFill="1" applyBorder="1" applyAlignment="1">
      <alignment horizontal="left" vertical="center" wrapText="1"/>
    </xf>
    <xf numFmtId="41" fontId="2" fillId="2" borderId="1" xfId="0" applyNumberFormat="1" applyFont="1" applyFill="1" applyBorder="1" applyAlignment="1">
      <alignment horizontal="right" vertical="center" wrapText="1"/>
    </xf>
    <xf numFmtId="170" fontId="2" fillId="9" borderId="1" xfId="4" applyNumberFormat="1" applyFont="1" applyFill="1" applyBorder="1" applyAlignment="1">
      <alignment horizontal="right" vertical="center" wrapText="1"/>
    </xf>
    <xf numFmtId="165" fontId="22" fillId="14" borderId="1" xfId="4" applyFont="1" applyFill="1" applyBorder="1" applyAlignment="1">
      <alignment horizontal="left" vertical="center" wrapText="1"/>
    </xf>
    <xf numFmtId="170" fontId="22" fillId="14" borderId="1" xfId="4" applyNumberFormat="1" applyFont="1" applyFill="1" applyBorder="1" applyAlignment="1">
      <alignment horizontal="left" vertical="center" wrapText="1"/>
    </xf>
    <xf numFmtId="41" fontId="2" fillId="9" borderId="1" xfId="0" applyNumberFormat="1" applyFont="1" applyFill="1" applyBorder="1" applyAlignment="1">
      <alignment horizontal="left" vertical="center" wrapText="1"/>
    </xf>
    <xf numFmtId="169" fontId="2" fillId="3" borderId="1" xfId="4" applyNumberFormat="1" applyFont="1" applyFill="1" applyBorder="1" applyAlignment="1">
      <alignment horizontal="left" vertical="center" wrapText="1"/>
    </xf>
    <xf numFmtId="170" fontId="2" fillId="3" borderId="1" xfId="4" applyNumberFormat="1" applyFont="1" applyFill="1" applyBorder="1" applyAlignment="1">
      <alignment horizontal="left" vertical="center" wrapText="1"/>
    </xf>
    <xf numFmtId="168" fontId="2" fillId="2" borderId="0" xfId="4" applyNumberFormat="1" applyFont="1" applyFill="1" applyBorder="1" applyAlignment="1">
      <alignment vertical="center" wrapText="1"/>
    </xf>
    <xf numFmtId="168" fontId="2" fillId="2" borderId="20" xfId="4" applyNumberFormat="1" applyFont="1" applyFill="1" applyBorder="1" applyAlignment="1">
      <alignment vertical="center" wrapText="1"/>
    </xf>
    <xf numFmtId="0" fontId="2" fillId="2" borderId="0" xfId="0" applyFont="1" applyFill="1" applyAlignment="1">
      <alignment vertical="center" wrapText="1"/>
    </xf>
    <xf numFmtId="165" fontId="2" fillId="2" borderId="0" xfId="4" applyFont="1" applyFill="1" applyBorder="1" applyAlignment="1">
      <alignment horizontal="left" vertical="center" wrapText="1"/>
    </xf>
    <xf numFmtId="41" fontId="2" fillId="2" borderId="0" xfId="0" applyNumberFormat="1" applyFont="1" applyFill="1" applyAlignment="1">
      <alignment horizontal="left" vertical="center" wrapText="1"/>
    </xf>
    <xf numFmtId="0" fontId="2" fillId="2" borderId="0" xfId="0" applyFont="1" applyFill="1" applyAlignment="1">
      <alignment horizontal="left" vertical="center" wrapText="1"/>
    </xf>
    <xf numFmtId="41" fontId="2" fillId="2" borderId="1" xfId="0" applyNumberFormat="1" applyFont="1" applyFill="1" applyBorder="1" applyAlignment="1">
      <alignment horizontal="center" vertical="center" wrapText="1"/>
    </xf>
    <xf numFmtId="165" fontId="2" fillId="2" borderId="1" xfId="4" applyFont="1" applyFill="1" applyBorder="1" applyAlignment="1">
      <alignment horizontal="right" vertical="center" wrapText="1"/>
    </xf>
    <xf numFmtId="165" fontId="2" fillId="2" borderId="1" xfId="0" applyNumberFormat="1" applyFont="1" applyFill="1" applyBorder="1" applyAlignment="1">
      <alignment horizontal="right" vertical="center" wrapText="1"/>
    </xf>
    <xf numFmtId="170" fontId="2" fillId="3" borderId="1" xfId="4" applyNumberFormat="1" applyFont="1" applyFill="1" applyBorder="1" applyAlignment="1">
      <alignment horizontal="right" vertical="center" wrapText="1"/>
    </xf>
    <xf numFmtId="41" fontId="2" fillId="20" borderId="1" xfId="0" applyNumberFormat="1" applyFont="1" applyFill="1" applyBorder="1" applyAlignment="1">
      <alignment horizontal="center" vertical="center" wrapText="1"/>
    </xf>
    <xf numFmtId="167" fontId="2" fillId="3" borderId="1" xfId="4" applyNumberFormat="1" applyFont="1" applyFill="1" applyBorder="1" applyAlignment="1">
      <alignment horizontal="right" vertical="center" wrapText="1"/>
    </xf>
    <xf numFmtId="167" fontId="2" fillId="9" borderId="1" xfId="3" applyNumberFormat="1" applyFont="1" applyFill="1" applyBorder="1" applyAlignment="1">
      <alignment horizontal="right" vertical="center" wrapText="1"/>
    </xf>
    <xf numFmtId="167" fontId="2" fillId="3" borderId="1" xfId="3" applyNumberFormat="1" applyFont="1" applyFill="1" applyBorder="1" applyAlignment="1">
      <alignment horizontal="right" vertical="center" wrapText="1"/>
    </xf>
    <xf numFmtId="168" fontId="3" fillId="2" borderId="0" xfId="4" applyNumberFormat="1" applyFont="1" applyFill="1" applyBorder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44" fillId="19" borderId="1" xfId="0" applyFont="1" applyFill="1" applyBorder="1" applyAlignment="1">
      <alignment horizontal="center" vertical="center" wrapText="1"/>
    </xf>
    <xf numFmtId="0" fontId="44" fillId="18" borderId="1" xfId="0" applyFont="1" applyFill="1" applyBorder="1" applyAlignment="1">
      <alignment vertical="center"/>
    </xf>
    <xf numFmtId="165" fontId="44" fillId="18" borderId="1" xfId="0" applyNumberFormat="1" applyFont="1" applyFill="1" applyBorder="1" applyAlignment="1">
      <alignment vertical="center"/>
    </xf>
    <xf numFmtId="0" fontId="44" fillId="18" borderId="1" xfId="0" applyFont="1" applyFill="1" applyBorder="1" applyAlignment="1">
      <alignment horizontal="center" vertical="center" wrapText="1"/>
    </xf>
    <xf numFmtId="0" fontId="44" fillId="18" borderId="1" xfId="0" applyFont="1" applyFill="1" applyBorder="1" applyAlignment="1">
      <alignment vertical="center" wrapText="1"/>
    </xf>
    <xf numFmtId="0" fontId="22" fillId="2" borderId="0" xfId="0" applyFont="1" applyFill="1" applyAlignment="1">
      <alignment horizontal="left" vertical="center"/>
    </xf>
    <xf numFmtId="0" fontId="30" fillId="0" borderId="1" xfId="0" applyFont="1" applyBorder="1" applyAlignment="1">
      <alignment horizontal="center" vertical="center" wrapText="1"/>
    </xf>
    <xf numFmtId="0" fontId="30" fillId="2" borderId="1" xfId="0" applyFont="1" applyFill="1" applyBorder="1" applyAlignment="1">
      <alignment horizontal="left" vertical="center" wrapText="1"/>
    </xf>
    <xf numFmtId="0" fontId="30" fillId="2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46" fillId="0" borderId="0" xfId="0" applyFont="1" applyAlignment="1">
      <alignment vertical="center" wrapText="1"/>
    </xf>
    <xf numFmtId="9" fontId="30" fillId="2" borderId="1" xfId="3" applyFont="1" applyFill="1" applyBorder="1" applyAlignment="1">
      <alignment horizontal="center" vertical="center"/>
    </xf>
    <xf numFmtId="9" fontId="30" fillId="2" borderId="1" xfId="3" applyFont="1" applyFill="1" applyBorder="1" applyAlignment="1">
      <alignment horizontal="center" vertical="center" wrapText="1"/>
    </xf>
    <xf numFmtId="169" fontId="30" fillId="2" borderId="1" xfId="4" applyNumberFormat="1" applyFont="1" applyFill="1" applyBorder="1" applyAlignment="1">
      <alignment horizontal="center" vertical="center" wrapText="1"/>
    </xf>
    <xf numFmtId="169" fontId="3" fillId="0" borderId="1" xfId="4" applyNumberFormat="1" applyFont="1" applyBorder="1" applyAlignment="1">
      <alignment horizontal="center" vertical="center" wrapText="1"/>
    </xf>
    <xf numFmtId="0" fontId="22" fillId="2" borderId="0" xfId="0" applyFont="1" applyFill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0" fontId="29" fillId="2" borderId="6" xfId="0" applyFont="1" applyFill="1" applyBorder="1" applyAlignment="1">
      <alignment horizontal="left" vertical="center" wrapText="1"/>
    </xf>
    <xf numFmtId="0" fontId="29" fillId="8" borderId="6" xfId="0" applyFont="1" applyFill="1" applyBorder="1" applyAlignment="1">
      <alignment horizontal="left" vertical="center" wrapText="1"/>
    </xf>
    <xf numFmtId="0" fontId="29" fillId="0" borderId="1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center" wrapText="1"/>
    </xf>
    <xf numFmtId="0" fontId="22" fillId="14" borderId="2" xfId="0" applyFont="1" applyFill="1" applyBorder="1" applyAlignment="1">
      <alignment horizontal="left" vertical="center" wrapText="1"/>
    </xf>
    <xf numFmtId="0" fontId="22" fillId="14" borderId="2" xfId="0" applyFont="1" applyFill="1" applyBorder="1" applyAlignment="1">
      <alignment horizontal="center" vertical="center" wrapText="1"/>
    </xf>
    <xf numFmtId="0" fontId="22" fillId="14" borderId="4" xfId="0" applyFont="1" applyFill="1" applyBorder="1" applyAlignment="1">
      <alignment horizontal="left" vertical="center" wrapText="1"/>
    </xf>
    <xf numFmtId="0" fontId="22" fillId="14" borderId="4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vertical="center"/>
    </xf>
    <xf numFmtId="0" fontId="3" fillId="2" borderId="0" xfId="0" applyFont="1" applyFill="1" applyAlignment="1">
      <alignment vertical="center" wrapTex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165" fontId="32" fillId="2" borderId="0" xfId="0" applyNumberFormat="1" applyFont="1" applyFill="1" applyAlignment="1">
      <alignment horizontal="right" vertical="center" wrapText="1"/>
    </xf>
    <xf numFmtId="0" fontId="23" fillId="0" borderId="0" xfId="0" applyFont="1" applyAlignment="1">
      <alignment vertical="center"/>
    </xf>
    <xf numFmtId="0" fontId="34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/>
    </xf>
    <xf numFmtId="0" fontId="25" fillId="2" borderId="0" xfId="0" applyFont="1" applyFill="1" applyAlignment="1">
      <alignment vertical="center" wrapText="1"/>
    </xf>
    <xf numFmtId="0" fontId="30" fillId="11" borderId="1" xfId="5" applyFont="1" applyFill="1" applyBorder="1" applyAlignment="1">
      <alignment horizontal="center" vertical="center" wrapText="1"/>
    </xf>
    <xf numFmtId="0" fontId="30" fillId="2" borderId="1" xfId="5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" fillId="5" borderId="0" xfId="0" applyFont="1" applyFill="1" applyAlignment="1">
      <alignment vertical="center"/>
    </xf>
    <xf numFmtId="169" fontId="47" fillId="14" borderId="1" xfId="4" applyNumberFormat="1" applyFont="1" applyFill="1" applyBorder="1" applyAlignment="1">
      <alignment horizontal="left" vertical="center" wrapText="1"/>
    </xf>
    <xf numFmtId="164" fontId="3" fillId="2" borderId="1" xfId="0" applyNumberFormat="1" applyFont="1" applyFill="1" applyBorder="1" applyAlignment="1" applyProtection="1">
      <alignment vertical="center" wrapText="1"/>
      <protection locked="0"/>
    </xf>
    <xf numFmtId="164" fontId="2" fillId="5" borderId="1" xfId="0" applyNumberFormat="1" applyFont="1" applyFill="1" applyBorder="1" applyAlignment="1">
      <alignment vertical="center" wrapText="1"/>
    </xf>
    <xf numFmtId="164" fontId="44" fillId="18" borderId="1" xfId="0" applyNumberFormat="1" applyFont="1" applyFill="1" applyBorder="1" applyAlignment="1">
      <alignment vertical="center"/>
    </xf>
    <xf numFmtId="164" fontId="45" fillId="3" borderId="1" xfId="0" applyNumberFormat="1" applyFont="1" applyFill="1" applyBorder="1" applyAlignment="1">
      <alignment horizontal="right" vertical="center" wrapText="1"/>
    </xf>
    <xf numFmtId="164" fontId="45" fillId="0" borderId="1" xfId="0" applyNumberFormat="1" applyFont="1" applyBorder="1" applyAlignment="1">
      <alignment horizontal="right" vertical="center" wrapText="1"/>
    </xf>
    <xf numFmtId="167" fontId="45" fillId="4" borderId="1" xfId="3" applyNumberFormat="1" applyFont="1" applyFill="1" applyBorder="1" applyAlignment="1">
      <alignment horizontal="right" vertical="center" wrapText="1"/>
    </xf>
    <xf numFmtId="167" fontId="45" fillId="4" borderId="1" xfId="0" applyNumberFormat="1" applyFont="1" applyFill="1" applyBorder="1" applyAlignment="1">
      <alignment horizontal="right" vertical="center" wrapText="1"/>
    </xf>
    <xf numFmtId="164" fontId="47" fillId="14" borderId="1" xfId="4" applyNumberFormat="1" applyFont="1" applyFill="1" applyBorder="1" applyAlignment="1">
      <alignment horizontal="right" vertical="center" wrapText="1"/>
    </xf>
    <xf numFmtId="164" fontId="47" fillId="14" borderId="1" xfId="0" applyNumberFormat="1" applyFont="1" applyFill="1" applyBorder="1" applyAlignment="1">
      <alignment horizontal="right" vertical="center" wrapText="1"/>
    </xf>
    <xf numFmtId="164" fontId="3" fillId="20" borderId="1" xfId="4" applyNumberFormat="1" applyFont="1" applyFill="1" applyBorder="1" applyAlignment="1" applyProtection="1">
      <alignment vertical="center" wrapText="1"/>
      <protection locked="0"/>
    </xf>
    <xf numFmtId="164" fontId="3" fillId="20" borderId="1" xfId="4" applyNumberFormat="1" applyFont="1" applyFill="1" applyBorder="1" applyAlignment="1">
      <alignment vertical="center" wrapText="1"/>
    </xf>
    <xf numFmtId="170" fontId="3" fillId="20" borderId="1" xfId="3" applyNumberFormat="1" applyFont="1" applyFill="1" applyBorder="1" applyAlignment="1">
      <alignment horizontal="center" vertical="center" wrapText="1"/>
    </xf>
    <xf numFmtId="0" fontId="51" fillId="0" borderId="12" xfId="0" applyFont="1" applyBorder="1" applyAlignment="1">
      <alignment horizontal="center" vertical="center" wrapText="1"/>
    </xf>
    <xf numFmtId="164" fontId="2" fillId="21" borderId="1" xfId="0" applyNumberFormat="1" applyFont="1" applyFill="1" applyBorder="1" applyAlignment="1">
      <alignment vertical="center" wrapText="1"/>
    </xf>
    <xf numFmtId="166" fontId="2" fillId="21" borderId="1" xfId="0" applyNumberFormat="1" applyFont="1" applyFill="1" applyBorder="1" applyAlignment="1">
      <alignment vertical="center" wrapText="1"/>
    </xf>
    <xf numFmtId="164" fontId="2" fillId="21" borderId="1" xfId="0" applyNumberFormat="1" applyFont="1" applyFill="1" applyBorder="1" applyAlignment="1" applyProtection="1">
      <alignment vertical="center" wrapText="1"/>
      <protection locked="0"/>
    </xf>
    <xf numFmtId="164" fontId="3" fillId="21" borderId="1" xfId="0" applyNumberFormat="1" applyFont="1" applyFill="1" applyBorder="1" applyAlignment="1" applyProtection="1">
      <alignment vertical="center" wrapText="1"/>
      <protection locked="0"/>
    </xf>
    <xf numFmtId="164" fontId="2" fillId="21" borderId="1" xfId="0" applyNumberFormat="1" applyFont="1" applyFill="1" applyBorder="1" applyAlignment="1" applyProtection="1">
      <alignment vertical="center"/>
      <protection locked="0"/>
    </xf>
    <xf numFmtId="165" fontId="2" fillId="2" borderId="1" xfId="4" applyFont="1" applyFill="1" applyBorder="1" applyAlignment="1">
      <alignment vertical="center" wrapText="1"/>
    </xf>
    <xf numFmtId="0" fontId="52" fillId="0" borderId="0" xfId="13" applyFont="1"/>
    <xf numFmtId="0" fontId="25" fillId="17" borderId="0" xfId="13" applyFont="1" applyFill="1" applyAlignment="1">
      <alignment horizontal="center" vertical="center"/>
    </xf>
    <xf numFmtId="0" fontId="22" fillId="17" borderId="2" xfId="13" applyFont="1" applyFill="1" applyBorder="1" applyAlignment="1">
      <alignment horizontal="center" vertical="center" wrapText="1"/>
    </xf>
    <xf numFmtId="165" fontId="22" fillId="17" borderId="2" xfId="4" applyFont="1" applyFill="1" applyBorder="1" applyAlignment="1">
      <alignment horizontal="center" vertical="center" wrapText="1"/>
    </xf>
    <xf numFmtId="0" fontId="30" fillId="0" borderId="1" xfId="13" applyFont="1" applyBorder="1" applyAlignment="1">
      <alignment vertical="center" wrapText="1" readingOrder="1"/>
    </xf>
    <xf numFmtId="41" fontId="2" fillId="2" borderId="1" xfId="13" applyNumberFormat="1" applyFont="1" applyFill="1" applyBorder="1" applyAlignment="1">
      <alignment horizontal="center" vertical="center" wrapText="1"/>
    </xf>
    <xf numFmtId="165" fontId="2" fillId="2" borderId="1" xfId="4" applyFont="1" applyFill="1" applyBorder="1" applyAlignment="1">
      <alignment horizontal="center" vertical="center" wrapText="1"/>
    </xf>
    <xf numFmtId="173" fontId="2" fillId="2" borderId="1" xfId="16" applyNumberFormat="1" applyFont="1" applyFill="1" applyBorder="1" applyAlignment="1">
      <alignment horizontal="right" vertical="center" wrapText="1"/>
    </xf>
    <xf numFmtId="0" fontId="3" fillId="0" borderId="0" xfId="13" applyFont="1" applyAlignment="1">
      <alignment horizontal="left" vertical="center"/>
    </xf>
    <xf numFmtId="165" fontId="22" fillId="17" borderId="1" xfId="4" applyFont="1" applyFill="1" applyBorder="1" applyAlignment="1">
      <alignment horizontal="center"/>
    </xf>
    <xf numFmtId="41" fontId="22" fillId="17" borderId="1" xfId="13" applyNumberFormat="1" applyFont="1" applyFill="1" applyBorder="1" applyAlignment="1">
      <alignment horizontal="center"/>
    </xf>
    <xf numFmtId="167" fontId="53" fillId="0" borderId="0" xfId="3" applyNumberFormat="1" applyFont="1"/>
    <xf numFmtId="0" fontId="28" fillId="0" borderId="0" xfId="13" applyFont="1" applyAlignment="1">
      <alignment horizontal="left"/>
    </xf>
    <xf numFmtId="0" fontId="28" fillId="0" borderId="0" xfId="13" applyFont="1"/>
    <xf numFmtId="165" fontId="54" fillId="0" borderId="0" xfId="4" applyFont="1" applyAlignment="1">
      <alignment horizontal="center" vertical="center"/>
    </xf>
    <xf numFmtId="166" fontId="54" fillId="0" borderId="0" xfId="13" applyNumberFormat="1" applyFont="1" applyAlignment="1">
      <alignment horizontal="center" vertical="center"/>
    </xf>
    <xf numFmtId="0" fontId="54" fillId="0" borderId="0" xfId="13" applyFont="1" applyAlignment="1">
      <alignment horizontal="center" vertical="center"/>
    </xf>
    <xf numFmtId="165" fontId="30" fillId="0" borderId="0" xfId="4" applyFont="1"/>
    <xf numFmtId="166" fontId="28" fillId="0" borderId="0" xfId="13" applyNumberFormat="1" applyFont="1"/>
    <xf numFmtId="165" fontId="28" fillId="0" borderId="0" xfId="4" applyFont="1"/>
    <xf numFmtId="41" fontId="28" fillId="0" borderId="0" xfId="13" applyNumberFormat="1" applyFont="1"/>
    <xf numFmtId="0" fontId="3" fillId="22" borderId="0" xfId="13" applyFont="1" applyFill="1" applyAlignment="1">
      <alignment horizontal="left" vertical="center"/>
    </xf>
    <xf numFmtId="168" fontId="50" fillId="2" borderId="0" xfId="4" applyNumberFormat="1" applyFont="1" applyFill="1" applyBorder="1" applyAlignment="1">
      <alignment horizontal="right" vertical="center" wrapText="1"/>
    </xf>
    <xf numFmtId="168" fontId="50" fillId="2" borderId="0" xfId="4" applyNumberFormat="1" applyFont="1" applyFill="1" applyBorder="1" applyAlignment="1">
      <alignment vertical="center" wrapText="1"/>
    </xf>
    <xf numFmtId="0" fontId="55" fillId="2" borderId="0" xfId="0" applyFont="1" applyFill="1" applyAlignment="1">
      <alignment vertical="center"/>
    </xf>
    <xf numFmtId="41" fontId="50" fillId="2" borderId="0" xfId="0" applyNumberFormat="1" applyFont="1" applyFill="1" applyAlignment="1">
      <alignment horizontal="center" vertical="center" wrapText="1"/>
    </xf>
    <xf numFmtId="167" fontId="50" fillId="2" borderId="0" xfId="3" applyNumberFormat="1" applyFont="1" applyFill="1" applyBorder="1" applyAlignment="1">
      <alignment horizontal="left" vertical="center" wrapText="1"/>
    </xf>
    <xf numFmtId="168" fontId="50" fillId="2" borderId="0" xfId="4" applyNumberFormat="1" applyFont="1" applyFill="1" applyBorder="1" applyAlignment="1">
      <alignment horizontal="left" vertical="center" wrapText="1"/>
    </xf>
    <xf numFmtId="44" fontId="2" fillId="2" borderId="1" xfId="15" applyFont="1" applyFill="1" applyBorder="1" applyAlignment="1">
      <alignment vertical="center" wrapText="1"/>
    </xf>
    <xf numFmtId="0" fontId="3" fillId="2" borderId="1" xfId="0" applyFont="1" applyFill="1" applyBorder="1" applyAlignment="1" applyProtection="1">
      <alignment vertical="center" wrapText="1"/>
      <protection locked="0"/>
    </xf>
    <xf numFmtId="0" fontId="3" fillId="2" borderId="28" xfId="0" applyFont="1" applyFill="1" applyBorder="1" applyAlignment="1" applyProtection="1">
      <alignment horizontal="left" vertical="center" wrapText="1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165" fontId="3" fillId="2" borderId="1" xfId="4" applyFont="1" applyFill="1" applyBorder="1" applyAlignment="1" applyProtection="1">
      <alignment vertical="center" wrapText="1"/>
      <protection locked="0"/>
    </xf>
    <xf numFmtId="165" fontId="30" fillId="2" borderId="1" xfId="4" applyFont="1" applyFill="1" applyBorder="1" applyAlignment="1" applyProtection="1">
      <alignment vertical="center" wrapText="1"/>
      <protection locked="0"/>
    </xf>
    <xf numFmtId="164" fontId="3" fillId="0" borderId="1" xfId="4" applyNumberFormat="1" applyFont="1" applyFill="1" applyBorder="1" applyAlignment="1" applyProtection="1">
      <alignment vertical="center" wrapText="1"/>
      <protection locked="0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8" fontId="3" fillId="0" borderId="0" xfId="0" applyNumberFormat="1" applyFont="1" applyAlignment="1">
      <alignment vertical="center"/>
    </xf>
    <xf numFmtId="0" fontId="3" fillId="2" borderId="1" xfId="0" applyFont="1" applyFill="1" applyBorder="1" applyAlignment="1" applyProtection="1">
      <alignment vertical="center" wrapText="1"/>
      <protection locked="0"/>
    </xf>
    <xf numFmtId="174" fontId="32" fillId="0" borderId="1" xfId="4" applyNumberFormat="1" applyFont="1" applyFill="1" applyBorder="1" applyAlignment="1">
      <alignment horizontal="right" vertical="center" wrapText="1"/>
    </xf>
    <xf numFmtId="43" fontId="23" fillId="0" borderId="0" xfId="0" applyNumberFormat="1" applyFont="1" applyAlignment="1">
      <alignment horizontal="center" vertical="center"/>
    </xf>
    <xf numFmtId="43" fontId="56" fillId="0" borderId="0" xfId="0" applyNumberFormat="1" applyFont="1" applyAlignment="1">
      <alignment horizontal="center" vertical="center"/>
    </xf>
    <xf numFmtId="165" fontId="32" fillId="2" borderId="1" xfId="4" applyFont="1" applyFill="1" applyBorder="1" applyAlignment="1">
      <alignment horizontal="right" vertical="center" wrapText="1"/>
    </xf>
    <xf numFmtId="41" fontId="32" fillId="2" borderId="1" xfId="4" applyNumberFormat="1" applyFont="1" applyFill="1" applyBorder="1" applyAlignment="1">
      <alignment horizontal="right" vertical="center" wrapText="1"/>
    </xf>
    <xf numFmtId="165" fontId="3" fillId="0" borderId="1" xfId="4" applyFont="1" applyFill="1" applyBorder="1" applyAlignment="1" applyProtection="1">
      <alignment vertical="center" wrapText="1"/>
      <protection locked="0"/>
    </xf>
    <xf numFmtId="0" fontId="3" fillId="0" borderId="0" xfId="0" applyFont="1" applyAlignment="1">
      <alignment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 applyProtection="1">
      <alignment vertical="center" wrapText="1"/>
      <protection locked="0"/>
    </xf>
    <xf numFmtId="0" fontId="3" fillId="0" borderId="0" xfId="0" applyFont="1" applyAlignment="1">
      <alignment vertical="center"/>
    </xf>
    <xf numFmtId="0" fontId="3" fillId="2" borderId="1" xfId="0" applyFont="1" applyFill="1" applyBorder="1" applyAlignment="1" applyProtection="1">
      <alignment vertical="center" wrapText="1"/>
      <protection locked="0"/>
    </xf>
    <xf numFmtId="0" fontId="2" fillId="0" borderId="0" xfId="0" applyFont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 readingOrder="1"/>
    </xf>
    <xf numFmtId="165" fontId="58" fillId="0" borderId="0" xfId="4" applyFont="1"/>
    <xf numFmtId="165" fontId="0" fillId="0" borderId="0" xfId="4" applyFont="1"/>
    <xf numFmtId="165" fontId="0" fillId="0" borderId="0" xfId="4" applyFont="1" applyFill="1" applyBorder="1"/>
    <xf numFmtId="169" fontId="0" fillId="0" borderId="0" xfId="4" applyNumberFormat="1" applyFont="1"/>
    <xf numFmtId="49" fontId="58" fillId="0" borderId="0" xfId="4" applyNumberFormat="1" applyFont="1"/>
    <xf numFmtId="49" fontId="0" fillId="0" borderId="0" xfId="4" applyNumberFormat="1" applyFont="1"/>
    <xf numFmtId="49" fontId="0" fillId="0" borderId="0" xfId="4" applyNumberFormat="1" applyFont="1" applyFill="1" applyBorder="1"/>
    <xf numFmtId="169" fontId="57" fillId="24" borderId="37" xfId="4" applyNumberFormat="1" applyFont="1" applyFill="1" applyBorder="1" applyAlignment="1">
      <alignment horizontal="center" vertical="center"/>
    </xf>
    <xf numFmtId="49" fontId="0" fillId="0" borderId="0" xfId="0" applyNumberFormat="1"/>
    <xf numFmtId="0" fontId="22" fillId="24" borderId="10" xfId="0" applyFont="1" applyFill="1" applyBorder="1" applyAlignment="1">
      <alignment horizontal="center" vertical="center" wrapText="1"/>
    </xf>
    <xf numFmtId="165" fontId="22" fillId="25" borderId="38" xfId="4" applyFont="1" applyFill="1" applyBorder="1" applyAlignment="1">
      <alignment horizontal="center" vertical="center" wrapText="1"/>
    </xf>
    <xf numFmtId="49" fontId="57" fillId="24" borderId="29" xfId="4" applyNumberFormat="1" applyFont="1" applyFill="1" applyBorder="1" applyAlignment="1">
      <alignment horizontal="center" vertical="center" wrapText="1"/>
    </xf>
    <xf numFmtId="49" fontId="58" fillId="0" borderId="0" xfId="4" applyNumberFormat="1" applyFont="1" applyAlignment="1">
      <alignment horizontal="center" vertical="center" wrapText="1"/>
    </xf>
    <xf numFmtId="49" fontId="59" fillId="8" borderId="29" xfId="4" applyNumberFormat="1" applyFont="1" applyFill="1" applyBorder="1" applyAlignment="1">
      <alignment horizontal="center" vertical="center" wrapText="1"/>
    </xf>
    <xf numFmtId="49" fontId="0" fillId="0" borderId="0" xfId="4" applyNumberFormat="1" applyFont="1" applyAlignment="1">
      <alignment horizontal="center" vertical="center" wrapText="1"/>
    </xf>
    <xf numFmtId="49" fontId="57" fillId="24" borderId="40" xfId="4" applyNumberFormat="1" applyFont="1" applyFill="1" applyBorder="1" applyAlignment="1">
      <alignment horizontal="center" vertical="center" wrapText="1"/>
    </xf>
    <xf numFmtId="49" fontId="0" fillId="0" borderId="0" xfId="4" applyNumberFormat="1" applyFont="1" applyFill="1" applyBorder="1" applyAlignment="1">
      <alignment horizontal="center" vertical="center" wrapText="1"/>
    </xf>
    <xf numFmtId="165" fontId="57" fillId="24" borderId="41" xfId="4" applyFont="1" applyFill="1" applyBorder="1" applyAlignment="1">
      <alignment horizontal="center" vertical="center" wrapText="1"/>
    </xf>
    <xf numFmtId="169" fontId="57" fillId="24" borderId="42" xfId="4" applyNumberFormat="1" applyFont="1" applyFill="1" applyBorder="1" applyAlignment="1">
      <alignment horizontal="center" vertical="center" wrapText="1"/>
    </xf>
    <xf numFmtId="170" fontId="57" fillId="24" borderId="29" xfId="4" applyNumberFormat="1" applyFont="1" applyFill="1" applyBorder="1" applyAlignment="1">
      <alignment horizontal="center" vertical="center" wrapText="1"/>
    </xf>
    <xf numFmtId="169" fontId="57" fillId="24" borderId="29" xfId="4" applyNumberFormat="1" applyFont="1" applyFill="1" applyBorder="1" applyAlignment="1">
      <alignment horizontal="center" vertical="center" wrapText="1"/>
    </xf>
    <xf numFmtId="169" fontId="57" fillId="24" borderId="37" xfId="4" applyNumberFormat="1" applyFont="1" applyFill="1" applyBorder="1" applyAlignment="1">
      <alignment horizontal="center" vertical="center" wrapText="1"/>
    </xf>
    <xf numFmtId="49" fontId="0" fillId="0" borderId="0" xfId="0" applyNumberFormat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165" fontId="2" fillId="3" borderId="4" xfId="4" applyFont="1" applyFill="1" applyBorder="1" applyAlignment="1">
      <alignment horizontal="center" vertical="center" wrapText="1"/>
    </xf>
    <xf numFmtId="165" fontId="3" fillId="2" borderId="1" xfId="4" applyFont="1" applyFill="1" applyBorder="1" applyAlignment="1" applyProtection="1">
      <alignment horizontal="center" vertical="center" wrapText="1"/>
      <protection locked="0"/>
    </xf>
    <xf numFmtId="0" fontId="57" fillId="24" borderId="29" xfId="0" applyFont="1" applyFill="1" applyBorder="1" applyAlignment="1">
      <alignment horizontal="center" vertical="center"/>
    </xf>
    <xf numFmtId="165" fontId="0" fillId="0" borderId="0" xfId="17" applyFont="1" applyAlignment="1">
      <alignment horizontal="center"/>
    </xf>
    <xf numFmtId="165" fontId="0" fillId="5" borderId="0" xfId="17" applyFont="1" applyFill="1"/>
    <xf numFmtId="165" fontId="60" fillId="0" borderId="0" xfId="17" applyFont="1"/>
    <xf numFmtId="165" fontId="0" fillId="0" borderId="0" xfId="17" applyFont="1"/>
    <xf numFmtId="165" fontId="58" fillId="0" borderId="0" xfId="17" applyFont="1" applyFill="1" applyBorder="1"/>
    <xf numFmtId="165" fontId="0" fillId="0" borderId="0" xfId="17" applyFont="1" applyFill="1" applyBorder="1"/>
    <xf numFmtId="169" fontId="0" fillId="0" borderId="0" xfId="17" applyNumberFormat="1" applyFont="1" applyAlignment="1">
      <alignment horizontal="center"/>
    </xf>
    <xf numFmtId="170" fontId="0" fillId="0" borderId="0" xfId="17" applyNumberFormat="1" applyFont="1" applyAlignment="1">
      <alignment horizontal="center"/>
    </xf>
    <xf numFmtId="0" fontId="1" fillId="0" borderId="0" xfId="18"/>
    <xf numFmtId="49" fontId="1" fillId="0" borderId="0" xfId="18" applyNumberFormat="1"/>
    <xf numFmtId="169" fontId="0" fillId="0" borderId="0" xfId="17" applyNumberFormat="1" applyFont="1" applyFill="1" applyBorder="1"/>
    <xf numFmtId="0" fontId="2" fillId="3" borderId="1" xfId="0" applyFont="1" applyFill="1" applyBorder="1" applyAlignment="1">
      <alignment horizontal="center" vertical="center" wrapText="1"/>
    </xf>
    <xf numFmtId="165" fontId="2" fillId="3" borderId="1" xfId="4" applyFont="1" applyFill="1" applyBorder="1" applyAlignment="1">
      <alignment horizontal="center" vertical="center" wrapText="1"/>
    </xf>
    <xf numFmtId="165" fontId="0" fillId="0" borderId="0" xfId="0" applyNumberFormat="1"/>
    <xf numFmtId="0" fontId="0" fillId="2" borderId="0" xfId="0" applyFill="1"/>
    <xf numFmtId="165" fontId="3" fillId="3" borderId="1" xfId="4" applyFont="1" applyFill="1" applyBorder="1" applyAlignment="1" applyProtection="1">
      <alignment horizontal="center" vertical="center" wrapText="1"/>
      <protection locked="0"/>
    </xf>
    <xf numFmtId="165" fontId="30" fillId="2" borderId="1" xfId="4" applyFont="1" applyFill="1" applyBorder="1" applyAlignment="1" applyProtection="1">
      <alignment horizontal="center" vertical="center" wrapText="1"/>
      <protection locked="0"/>
    </xf>
    <xf numFmtId="165" fontId="2" fillId="3" borderId="1" xfId="4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>
      <alignment horizontal="center" vertical="center" wrapText="1"/>
    </xf>
    <xf numFmtId="165" fontId="2" fillId="26" borderId="1" xfId="4" applyFont="1" applyFill="1" applyBorder="1" applyAlignment="1" applyProtection="1">
      <alignment horizontal="center" vertical="center"/>
      <protection locked="0"/>
    </xf>
    <xf numFmtId="165" fontId="2" fillId="2" borderId="1" xfId="4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Alignment="1">
      <alignment horizontal="center"/>
    </xf>
    <xf numFmtId="165" fontId="3" fillId="0" borderId="0" xfId="4" applyFont="1" applyAlignment="1">
      <alignment horizontal="center"/>
    </xf>
    <xf numFmtId="0" fontId="4" fillId="27" borderId="1" xfId="0" applyFont="1" applyFill="1" applyBorder="1" applyAlignment="1">
      <alignment horizontal="center" vertical="center" wrapText="1"/>
    </xf>
    <xf numFmtId="169" fontId="3" fillId="2" borderId="1" xfId="4" applyNumberFormat="1" applyFont="1" applyFill="1" applyBorder="1" applyAlignment="1" applyProtection="1">
      <alignment horizontal="center" vertical="center" wrapText="1"/>
      <protection locked="0"/>
    </xf>
    <xf numFmtId="0" fontId="2" fillId="27" borderId="1" xfId="0" applyFont="1" applyFill="1" applyBorder="1" applyAlignment="1">
      <alignment horizontal="center" vertical="center" wrapText="1"/>
    </xf>
    <xf numFmtId="170" fontId="3" fillId="2" borderId="1" xfId="4" applyNumberFormat="1" applyFont="1" applyFill="1" applyBorder="1" applyAlignment="1" applyProtection="1">
      <alignment horizontal="center" vertical="center" wrapText="1"/>
      <protection locked="0"/>
    </xf>
    <xf numFmtId="0" fontId="3" fillId="28" borderId="1" xfId="0" applyFont="1" applyFill="1" applyBorder="1" applyAlignment="1">
      <alignment horizontal="center" vertical="center" wrapText="1"/>
    </xf>
    <xf numFmtId="0" fontId="60" fillId="2" borderId="0" xfId="0" applyFont="1" applyFill="1"/>
    <xf numFmtId="0" fontId="30" fillId="2" borderId="0" xfId="0" applyFont="1" applyFill="1"/>
    <xf numFmtId="0" fontId="0" fillId="0" borderId="0" xfId="0" applyAlignment="1">
      <alignment horizontal="center"/>
    </xf>
    <xf numFmtId="165" fontId="0" fillId="0" borderId="0" xfId="4" applyFont="1" applyAlignment="1">
      <alignment horizontal="center"/>
    </xf>
    <xf numFmtId="169" fontId="0" fillId="0" borderId="0" xfId="4" applyNumberFormat="1" applyFont="1" applyAlignment="1">
      <alignment horizontal="center"/>
    </xf>
    <xf numFmtId="165" fontId="61" fillId="2" borderId="0" xfId="4" applyFont="1" applyFill="1" applyAlignment="1">
      <alignment vertical="center" wrapText="1"/>
    </xf>
    <xf numFmtId="170" fontId="0" fillId="0" borderId="0" xfId="4" applyNumberFormat="1" applyFont="1"/>
    <xf numFmtId="0" fontId="3" fillId="0" borderId="0" xfId="0" applyFont="1" applyAlignment="1">
      <alignment horizontal="right" vertical="center"/>
    </xf>
    <xf numFmtId="0" fontId="2" fillId="2" borderId="0" xfId="0" applyFont="1" applyFill="1" applyAlignment="1">
      <alignment horizontal="right" vertical="center" wrapText="1"/>
    </xf>
    <xf numFmtId="0" fontId="2" fillId="0" borderId="0" xfId="0" applyFont="1" applyAlignment="1">
      <alignment horizontal="right" vertical="center" wrapText="1"/>
    </xf>
    <xf numFmtId="8" fontId="3" fillId="2" borderId="0" xfId="0" applyNumberFormat="1" applyFont="1" applyFill="1" applyAlignment="1">
      <alignment horizontal="right" vertical="center"/>
    </xf>
    <xf numFmtId="8" fontId="3" fillId="0" borderId="0" xfId="0" applyNumberFormat="1" applyFont="1" applyAlignment="1">
      <alignment horizontal="right" vertical="center"/>
    </xf>
    <xf numFmtId="8" fontId="2" fillId="2" borderId="0" xfId="0" applyNumberFormat="1" applyFont="1" applyFill="1" applyAlignment="1">
      <alignment horizontal="right" vertical="center"/>
    </xf>
    <xf numFmtId="164" fontId="3" fillId="2" borderId="0" xfId="0" applyNumberFormat="1" applyFont="1" applyFill="1" applyBorder="1" applyAlignment="1" applyProtection="1">
      <alignment horizontal="right" vertical="center" wrapText="1"/>
      <protection locked="0"/>
    </xf>
    <xf numFmtId="167" fontId="30" fillId="2" borderId="0" xfId="3" applyNumberFormat="1" applyFont="1" applyFill="1" applyBorder="1" applyAlignment="1" applyProtection="1">
      <alignment vertical="center" wrapText="1"/>
    </xf>
    <xf numFmtId="44" fontId="3" fillId="0" borderId="0" xfId="15" applyFont="1" applyAlignment="1">
      <alignment horizontal="right" vertical="center"/>
    </xf>
    <xf numFmtId="0" fontId="21" fillId="12" borderId="0" xfId="0" applyFont="1" applyFill="1" applyAlignment="1">
      <alignment vertical="center" wrapText="1"/>
    </xf>
    <xf numFmtId="0" fontId="30" fillId="8" borderId="1" xfId="13" applyFont="1" applyFill="1" applyBorder="1" applyAlignment="1">
      <alignment vertical="center" wrapText="1" readingOrder="1"/>
    </xf>
    <xf numFmtId="165" fontId="2" fillId="8" borderId="1" xfId="4" applyFont="1" applyFill="1" applyBorder="1" applyAlignment="1">
      <alignment horizontal="center" vertical="center" wrapText="1"/>
    </xf>
    <xf numFmtId="165" fontId="2" fillId="9" borderId="1" xfId="0" applyNumberFormat="1" applyFont="1" applyFill="1" applyBorder="1" applyAlignment="1">
      <alignment horizontal="right" vertical="center" wrapText="1"/>
    </xf>
    <xf numFmtId="0" fontId="70" fillId="29" borderId="46" xfId="0" applyNumberFormat="1" applyFont="1" applyFill="1" applyBorder="1" applyAlignment="1">
      <alignment horizontal="right" vertical="center" wrapText="1" shrinkToFit="1" readingOrder="1"/>
    </xf>
    <xf numFmtId="0" fontId="70" fillId="29" borderId="46" xfId="0" applyNumberFormat="1" applyFont="1" applyFill="1" applyBorder="1" applyAlignment="1">
      <alignment horizontal="center" vertical="center" wrapText="1" shrinkToFit="1" readingOrder="1"/>
    </xf>
    <xf numFmtId="4" fontId="72" fillId="30" borderId="0" xfId="0" applyNumberFormat="1" applyFont="1" applyFill="1" applyAlignment="1">
      <alignment horizontal="right" vertical="center" wrapText="1" shrinkToFit="1" readingOrder="1"/>
    </xf>
    <xf numFmtId="4" fontId="72" fillId="0" borderId="0" xfId="0" applyNumberFormat="1" applyFont="1" applyAlignment="1">
      <alignment horizontal="right" vertical="center" wrapText="1" shrinkToFit="1" readingOrder="1"/>
    </xf>
    <xf numFmtId="4" fontId="74" fillId="0" borderId="0" xfId="0" applyNumberFormat="1" applyFont="1" applyAlignment="1">
      <alignment horizontal="right" vertical="center" wrapText="1" shrinkToFit="1" readingOrder="1"/>
    </xf>
    <xf numFmtId="4" fontId="74" fillId="30" borderId="0" xfId="0" applyNumberFormat="1" applyFont="1" applyFill="1" applyAlignment="1">
      <alignment horizontal="right" vertical="center" wrapText="1" shrinkToFit="1" readingOrder="1"/>
    </xf>
    <xf numFmtId="4" fontId="72" fillId="2" borderId="0" xfId="0" applyNumberFormat="1" applyFont="1" applyFill="1" applyAlignment="1">
      <alignment horizontal="right" vertical="center" wrapText="1" shrinkToFit="1" readingOrder="1"/>
    </xf>
    <xf numFmtId="49" fontId="73" fillId="0" borderId="0" xfId="0" applyNumberFormat="1" applyFont="1" applyAlignment="1">
      <alignment horizontal="center" vertical="top" wrapText="1" shrinkToFit="1" readingOrder="1"/>
    </xf>
    <xf numFmtId="0" fontId="3" fillId="8" borderId="0" xfId="0" applyFont="1" applyFill="1" applyAlignment="1">
      <alignment vertical="center" wrapText="1"/>
    </xf>
    <xf numFmtId="177" fontId="3" fillId="0" borderId="0" xfId="0" applyNumberFormat="1" applyFont="1" applyAlignment="1">
      <alignment vertical="center" wrapText="1"/>
    </xf>
    <xf numFmtId="178" fontId="3" fillId="0" borderId="0" xfId="0" applyNumberFormat="1" applyFont="1" applyAlignment="1">
      <alignment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right" vertical="center"/>
    </xf>
    <xf numFmtId="176" fontId="45" fillId="3" borderId="1" xfId="0" applyNumberFormat="1" applyFont="1" applyFill="1" applyBorder="1" applyAlignment="1">
      <alignment horizontal="right" vertical="center" wrapText="1"/>
    </xf>
    <xf numFmtId="0" fontId="22" fillId="14" borderId="0" xfId="0" applyFont="1" applyFill="1" applyBorder="1" applyAlignment="1" applyProtection="1">
      <alignment horizontal="left" vertical="center"/>
      <protection locked="0"/>
    </xf>
    <xf numFmtId="0" fontId="3" fillId="5" borderId="0" xfId="0" applyFont="1" applyFill="1" applyBorder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44" fontId="3" fillId="0" borderId="0" xfId="15" applyFont="1" applyAlignment="1">
      <alignment vertical="center" wrapText="1"/>
    </xf>
    <xf numFmtId="164" fontId="45" fillId="2" borderId="1" xfId="0" applyNumberFormat="1" applyFont="1" applyFill="1" applyBorder="1" applyAlignment="1">
      <alignment horizontal="right" vertical="center" wrapText="1"/>
    </xf>
    <xf numFmtId="44" fontId="3" fillId="0" borderId="0" xfId="15" applyNumberFormat="1" applyFont="1" applyAlignment="1">
      <alignment vertical="center" wrapText="1"/>
    </xf>
    <xf numFmtId="180" fontId="3" fillId="0" borderId="0" xfId="0" applyNumberFormat="1" applyFont="1" applyAlignment="1">
      <alignment vertical="center" wrapText="1"/>
    </xf>
    <xf numFmtId="2" fontId="3" fillId="0" borderId="0" xfId="0" applyNumberFormat="1" applyFont="1" applyAlignment="1">
      <alignment vertical="center" wrapText="1"/>
    </xf>
    <xf numFmtId="2" fontId="3" fillId="2" borderId="0" xfId="0" applyNumberFormat="1" applyFont="1" applyFill="1" applyAlignment="1">
      <alignment vertical="center"/>
    </xf>
    <xf numFmtId="165" fontId="2" fillId="2" borderId="1" xfId="4" applyFont="1" applyFill="1" applyBorder="1" applyAlignment="1" applyProtection="1">
      <alignment vertical="center" wrapText="1"/>
    </xf>
    <xf numFmtId="0" fontId="3" fillId="0" borderId="0" xfId="0" applyFont="1" applyAlignment="1">
      <alignment vertical="center"/>
    </xf>
    <xf numFmtId="181" fontId="3" fillId="0" borderId="0" xfId="0" applyNumberFormat="1" applyFont="1" applyAlignment="1">
      <alignment vertical="center" wrapText="1"/>
    </xf>
    <xf numFmtId="182" fontId="2" fillId="2" borderId="1" xfId="4" applyNumberFormat="1" applyFont="1" applyFill="1" applyBorder="1" applyAlignment="1">
      <alignment vertical="center" wrapText="1"/>
    </xf>
    <xf numFmtId="0" fontId="25" fillId="2" borderId="0" xfId="0" applyFont="1" applyFill="1" applyAlignment="1">
      <alignment horizontal="right" vertical="center"/>
    </xf>
    <xf numFmtId="49" fontId="84" fillId="0" borderId="0" xfId="0" applyNumberFormat="1" applyFont="1" applyAlignment="1">
      <alignment horizontal="center" vertical="top" wrapText="1" shrinkToFit="1" readingOrder="1"/>
    </xf>
    <xf numFmtId="0" fontId="16" fillId="0" borderId="0" xfId="0" applyFont="1" applyAlignment="1">
      <alignment vertical="center" wrapText="1"/>
    </xf>
    <xf numFmtId="0" fontId="61" fillId="23" borderId="1" xfId="0" applyFont="1" applyFill="1" applyBorder="1" applyAlignment="1" applyProtection="1">
      <alignment vertical="center"/>
      <protection locked="0"/>
    </xf>
    <xf numFmtId="0" fontId="3" fillId="0" borderId="0" xfId="0" applyFont="1" applyFill="1" applyAlignment="1">
      <alignment vertical="center" wrapText="1"/>
    </xf>
    <xf numFmtId="0" fontId="3" fillId="2" borderId="1" xfId="0" applyFont="1" applyFill="1" applyBorder="1" applyAlignment="1" applyProtection="1">
      <alignment vertical="center" wrapText="1"/>
      <protection locked="0"/>
    </xf>
    <xf numFmtId="0" fontId="3" fillId="0" borderId="0" xfId="0" applyFont="1" applyAlignment="1">
      <alignment vertical="center"/>
    </xf>
    <xf numFmtId="0" fontId="3" fillId="0" borderId="15" xfId="0" applyFont="1" applyBorder="1" applyAlignment="1">
      <alignment vertical="center"/>
    </xf>
    <xf numFmtId="0" fontId="3" fillId="0" borderId="19" xfId="0" applyFont="1" applyBorder="1" applyAlignment="1">
      <alignment vertical="center"/>
    </xf>
    <xf numFmtId="0" fontId="3" fillId="0" borderId="14" xfId="0" applyFont="1" applyBorder="1" applyAlignment="1">
      <alignment vertical="center"/>
    </xf>
    <xf numFmtId="0" fontId="3" fillId="0" borderId="21" xfId="0" applyFont="1" applyBorder="1" applyAlignment="1">
      <alignment vertical="center"/>
    </xf>
    <xf numFmtId="0" fontId="3" fillId="0" borderId="12" xfId="0" applyFont="1" applyBorder="1" applyAlignment="1">
      <alignment vertical="center"/>
    </xf>
    <xf numFmtId="0" fontId="3" fillId="0" borderId="22" xfId="0" applyFont="1" applyBorder="1" applyAlignment="1">
      <alignment vertical="center"/>
    </xf>
    <xf numFmtId="0" fontId="29" fillId="0" borderId="1" xfId="0" applyFont="1" applyBorder="1" applyAlignment="1">
      <alignment horizontal="center" vertical="center" wrapText="1"/>
    </xf>
    <xf numFmtId="0" fontId="29" fillId="17" borderId="26" xfId="0" applyFont="1" applyFill="1" applyBorder="1" applyAlignment="1">
      <alignment horizontal="center" vertical="center"/>
    </xf>
    <xf numFmtId="0" fontId="29" fillId="17" borderId="23" xfId="0" applyFont="1" applyFill="1" applyBorder="1" applyAlignment="1">
      <alignment horizontal="center" vertical="center"/>
    </xf>
    <xf numFmtId="0" fontId="29" fillId="17" borderId="24" xfId="0" applyFont="1" applyFill="1" applyBorder="1" applyAlignment="1">
      <alignment horizontal="center" vertical="center"/>
    </xf>
    <xf numFmtId="0" fontId="29" fillId="17" borderId="27" xfId="0" applyFont="1" applyFill="1" applyBorder="1" applyAlignment="1">
      <alignment horizontal="center" vertical="center"/>
    </xf>
    <xf numFmtId="0" fontId="29" fillId="17" borderId="17" xfId="0" applyFont="1" applyFill="1" applyBorder="1" applyAlignment="1">
      <alignment horizontal="center" vertical="center"/>
    </xf>
    <xf numFmtId="0" fontId="29" fillId="17" borderId="25" xfId="0" applyFont="1" applyFill="1" applyBorder="1" applyAlignment="1">
      <alignment horizontal="center" vertical="center"/>
    </xf>
    <xf numFmtId="0" fontId="29" fillId="17" borderId="1" xfId="0" applyFont="1" applyFill="1" applyBorder="1" applyAlignment="1">
      <alignment horizontal="center" vertical="center"/>
    </xf>
    <xf numFmtId="0" fontId="3" fillId="0" borderId="6" xfId="0" applyFont="1" applyBorder="1" applyAlignment="1">
      <alignment horizontal="left" vertical="center"/>
    </xf>
    <xf numFmtId="0" fontId="3" fillId="0" borderId="7" xfId="0" applyFont="1" applyBorder="1" applyAlignment="1">
      <alignment horizontal="left" vertical="center"/>
    </xf>
    <xf numFmtId="0" fontId="3" fillId="0" borderId="8" xfId="0" applyFont="1" applyBorder="1" applyAlignment="1">
      <alignment horizontal="left" vertical="center"/>
    </xf>
    <xf numFmtId="0" fontId="22" fillId="13" borderId="5" xfId="0" applyFont="1" applyFill="1" applyBorder="1" applyAlignment="1">
      <alignment horizontal="center" vertical="center"/>
    </xf>
    <xf numFmtId="0" fontId="22" fillId="13" borderId="0" xfId="0" applyFont="1" applyFill="1" applyAlignment="1">
      <alignment horizontal="center" vertical="center"/>
    </xf>
    <xf numFmtId="0" fontId="2" fillId="8" borderId="0" xfId="0" applyFont="1" applyFill="1" applyAlignment="1">
      <alignment horizontal="left" vertical="center" wrapText="1"/>
    </xf>
    <xf numFmtId="0" fontId="22" fillId="14" borderId="5" xfId="0" applyFont="1" applyFill="1" applyBorder="1" applyAlignment="1">
      <alignment horizontal="center" vertical="center"/>
    </xf>
    <xf numFmtId="0" fontId="22" fillId="14" borderId="0" xfId="0" applyFont="1" applyFill="1" applyAlignment="1">
      <alignment horizontal="center" vertical="center"/>
    </xf>
    <xf numFmtId="0" fontId="3" fillId="2" borderId="5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2" fontId="3" fillId="2" borderId="0" xfId="0" applyNumberFormat="1" applyFont="1" applyFill="1" applyAlignment="1">
      <alignment horizontal="center" vertical="center"/>
    </xf>
    <xf numFmtId="0" fontId="30" fillId="2" borderId="1" xfId="0" applyFont="1" applyFill="1" applyBorder="1" applyAlignment="1">
      <alignment horizontal="left" vertical="center" wrapText="1"/>
    </xf>
    <xf numFmtId="0" fontId="30" fillId="2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 wrapText="1"/>
    </xf>
    <xf numFmtId="9" fontId="30" fillId="0" borderId="1" xfId="3" applyFont="1" applyBorder="1" applyAlignment="1">
      <alignment horizontal="center" vertical="center" wrapText="1"/>
    </xf>
    <xf numFmtId="9" fontId="3" fillId="2" borderId="1" xfId="3" applyFont="1" applyFill="1" applyBorder="1" applyAlignment="1">
      <alignment horizontal="center" vertical="center" wrapText="1"/>
    </xf>
    <xf numFmtId="0" fontId="22" fillId="14" borderId="1" xfId="0" applyFont="1" applyFill="1" applyBorder="1" applyAlignment="1">
      <alignment horizontal="center" vertical="center" wrapText="1"/>
    </xf>
    <xf numFmtId="2" fontId="30" fillId="0" borderId="1" xfId="3" applyNumberFormat="1" applyFont="1" applyBorder="1" applyAlignment="1">
      <alignment horizontal="center" vertical="center" wrapText="1"/>
    </xf>
    <xf numFmtId="10" fontId="30" fillId="0" borderId="1" xfId="3" applyNumberFormat="1" applyFont="1" applyBorder="1" applyAlignment="1">
      <alignment horizontal="center" vertical="center" wrapText="1"/>
    </xf>
    <xf numFmtId="2" fontId="30" fillId="2" borderId="1" xfId="3" applyNumberFormat="1" applyFont="1" applyFill="1" applyBorder="1" applyAlignment="1">
      <alignment horizontal="center" vertical="center" wrapText="1"/>
    </xf>
    <xf numFmtId="10" fontId="3" fillId="2" borderId="1" xfId="3" applyNumberFormat="1" applyFont="1" applyFill="1" applyBorder="1" applyAlignment="1">
      <alignment horizontal="center" vertical="center" wrapText="1"/>
    </xf>
    <xf numFmtId="175" fontId="30" fillId="2" borderId="1" xfId="3" applyNumberFormat="1" applyFont="1" applyFill="1" applyBorder="1" applyAlignment="1" applyProtection="1">
      <alignment horizontal="center" vertical="center" wrapText="1"/>
    </xf>
    <xf numFmtId="179" fontId="3" fillId="2" borderId="1" xfId="3" applyNumberFormat="1" applyFont="1" applyFill="1" applyBorder="1" applyAlignment="1">
      <alignment horizontal="center" vertical="center" wrapText="1"/>
    </xf>
    <xf numFmtId="167" fontId="30" fillId="0" borderId="1" xfId="3" applyNumberFormat="1" applyFont="1" applyBorder="1" applyAlignment="1">
      <alignment horizontal="center" vertical="center" wrapText="1"/>
    </xf>
    <xf numFmtId="0" fontId="30" fillId="2" borderId="1" xfId="5" applyFont="1" applyFill="1" applyBorder="1" applyAlignment="1">
      <alignment horizontal="left" vertical="center" wrapText="1"/>
    </xf>
    <xf numFmtId="0" fontId="30" fillId="11" borderId="1" xfId="5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left" vertical="center" wrapText="1"/>
    </xf>
    <xf numFmtId="9" fontId="30" fillId="0" borderId="2" xfId="3" applyFont="1" applyBorder="1" applyAlignment="1">
      <alignment horizontal="center" vertical="center" wrapText="1"/>
    </xf>
    <xf numFmtId="9" fontId="30" fillId="0" borderId="4" xfId="3" applyFont="1" applyBorder="1" applyAlignment="1">
      <alignment horizontal="center" vertical="center" wrapText="1"/>
    </xf>
    <xf numFmtId="2" fontId="30" fillId="2" borderId="1" xfId="3" applyNumberFormat="1" applyFont="1" applyFill="1" applyBorder="1" applyAlignment="1" applyProtection="1">
      <alignment horizontal="center" vertical="center" wrapText="1"/>
    </xf>
    <xf numFmtId="2" fontId="30" fillId="0" borderId="2" xfId="3" applyNumberFormat="1" applyFont="1" applyBorder="1" applyAlignment="1">
      <alignment horizontal="center" vertical="center" wrapText="1"/>
    </xf>
    <xf numFmtId="2" fontId="30" fillId="0" borderId="4" xfId="3" applyNumberFormat="1" applyFont="1" applyBorder="1" applyAlignment="1">
      <alignment horizontal="center" vertical="center" wrapText="1"/>
    </xf>
    <xf numFmtId="0" fontId="4" fillId="15" borderId="5" xfId="0" applyFont="1" applyFill="1" applyBorder="1" applyAlignment="1">
      <alignment horizontal="left" vertical="center" wrapText="1"/>
    </xf>
    <xf numFmtId="0" fontId="4" fillId="15" borderId="0" xfId="0" applyFont="1" applyFill="1" applyAlignment="1">
      <alignment horizontal="left" vertical="center" wrapText="1"/>
    </xf>
    <xf numFmtId="0" fontId="22" fillId="14" borderId="10" xfId="0" applyFont="1" applyFill="1" applyBorder="1" applyAlignment="1">
      <alignment horizontal="left" vertical="center"/>
    </xf>
    <xf numFmtId="0" fontId="22" fillId="14" borderId="9" xfId="0" applyFont="1" applyFill="1" applyBorder="1" applyAlignment="1">
      <alignment horizontal="left" vertical="center"/>
    </xf>
    <xf numFmtId="0" fontId="22" fillId="14" borderId="3" xfId="0" applyFont="1" applyFill="1" applyBorder="1" applyAlignment="1">
      <alignment horizontal="left" vertical="center"/>
    </xf>
    <xf numFmtId="0" fontId="22" fillId="14" borderId="1" xfId="0" applyFont="1" applyFill="1" applyBorder="1" applyAlignment="1">
      <alignment horizontal="left" vertical="center"/>
    </xf>
    <xf numFmtId="0" fontId="22" fillId="14" borderId="1" xfId="0" applyFont="1" applyFill="1" applyBorder="1" applyAlignment="1">
      <alignment horizontal="left" vertical="center" wrapText="1"/>
    </xf>
    <xf numFmtId="0" fontId="22" fillId="14" borderId="2" xfId="0" applyFont="1" applyFill="1" applyBorder="1" applyAlignment="1">
      <alignment horizontal="center" vertical="center" wrapText="1"/>
    </xf>
    <xf numFmtId="167" fontId="30" fillId="2" borderId="0" xfId="3" applyNumberFormat="1" applyFont="1" applyFill="1" applyBorder="1" applyAlignment="1" applyProtection="1">
      <alignment horizontal="center" vertical="center" wrapText="1"/>
    </xf>
    <xf numFmtId="2" fontId="30" fillId="2" borderId="0" xfId="3" applyNumberFormat="1" applyFont="1" applyFill="1" applyBorder="1" applyAlignment="1" applyProtection="1">
      <alignment horizontal="center" vertical="center" wrapText="1"/>
    </xf>
    <xf numFmtId="0" fontId="22" fillId="14" borderId="4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2" borderId="1" xfId="0" applyFont="1" applyFill="1" applyBorder="1" applyAlignment="1" applyProtection="1">
      <alignment vertical="center" wrapText="1"/>
      <protection locked="0"/>
    </xf>
    <xf numFmtId="0" fontId="22" fillId="14" borderId="1" xfId="0" applyFont="1" applyFill="1" applyBorder="1" applyAlignment="1">
      <alignment horizontal="right" vertical="center" wrapText="1"/>
    </xf>
    <xf numFmtId="0" fontId="86" fillId="2" borderId="0" xfId="0" applyFont="1" applyFill="1" applyAlignment="1">
      <alignment horizontal="center" vertical="center" wrapText="1"/>
    </xf>
    <xf numFmtId="0" fontId="22" fillId="14" borderId="10" xfId="0" applyFont="1" applyFill="1" applyBorder="1" applyAlignment="1">
      <alignment horizontal="left" vertical="center" wrapText="1"/>
    </xf>
    <xf numFmtId="0" fontId="22" fillId="14" borderId="9" xfId="0" applyFont="1" applyFill="1" applyBorder="1" applyAlignment="1">
      <alignment horizontal="left" vertical="center" wrapText="1"/>
    </xf>
    <xf numFmtId="0" fontId="22" fillId="14" borderId="3" xfId="0" applyFont="1" applyFill="1" applyBorder="1" applyAlignment="1">
      <alignment horizontal="left" vertical="center" wrapText="1"/>
    </xf>
    <xf numFmtId="0" fontId="22" fillId="14" borderId="11" xfId="0" applyFont="1" applyFill="1" applyBorder="1" applyAlignment="1">
      <alignment horizontal="center" vertical="center" wrapText="1"/>
    </xf>
    <xf numFmtId="0" fontId="22" fillId="14" borderId="12" xfId="0" applyFont="1" applyFill="1" applyBorder="1" applyAlignment="1">
      <alignment horizontal="center" vertical="center" wrapText="1"/>
    </xf>
    <xf numFmtId="0" fontId="22" fillId="14" borderId="16" xfId="0" applyFont="1" applyFill="1" applyBorder="1" applyAlignment="1">
      <alignment horizontal="center" vertical="center" wrapText="1"/>
    </xf>
    <xf numFmtId="0" fontId="22" fillId="14" borderId="17" xfId="0" applyFont="1" applyFill="1" applyBorder="1" applyAlignment="1">
      <alignment horizontal="center" vertical="center" wrapText="1"/>
    </xf>
    <xf numFmtId="0" fontId="44" fillId="18" borderId="1" xfId="0" applyFont="1" applyFill="1" applyBorder="1" applyAlignment="1">
      <alignment horizontal="center" vertical="center" wrapText="1"/>
    </xf>
    <xf numFmtId="0" fontId="3" fillId="5" borderId="10" xfId="0" applyFont="1" applyFill="1" applyBorder="1" applyAlignment="1" applyProtection="1">
      <alignment horizontal="center" vertical="center" wrapText="1"/>
      <protection locked="0"/>
    </xf>
    <xf numFmtId="0" fontId="3" fillId="5" borderId="9" xfId="0" applyFont="1" applyFill="1" applyBorder="1" applyAlignment="1" applyProtection="1">
      <alignment horizontal="center" vertical="center" wrapText="1"/>
      <protection locked="0"/>
    </xf>
    <xf numFmtId="0" fontId="3" fillId="5" borderId="3" xfId="0" applyFont="1" applyFill="1" applyBorder="1" applyAlignment="1" applyProtection="1">
      <alignment horizontal="center" vertical="center" wrapText="1"/>
      <protection locked="0"/>
    </xf>
    <xf numFmtId="0" fontId="42" fillId="16" borderId="16" xfId="0" applyFont="1" applyFill="1" applyBorder="1" applyAlignment="1">
      <alignment horizontal="left" vertical="center" wrapText="1"/>
    </xf>
    <xf numFmtId="0" fontId="42" fillId="16" borderId="17" xfId="0" applyFont="1" applyFill="1" applyBorder="1" applyAlignment="1">
      <alignment horizontal="left" vertical="center" wrapText="1"/>
    </xf>
    <xf numFmtId="0" fontId="44" fillId="19" borderId="2" xfId="0" applyFont="1" applyFill="1" applyBorder="1" applyAlignment="1">
      <alignment horizontal="center" vertical="center" wrapText="1"/>
    </xf>
    <xf numFmtId="0" fontId="44" fillId="19" borderId="4" xfId="0" applyFont="1" applyFill="1" applyBorder="1" applyAlignment="1">
      <alignment horizontal="center" vertical="center" wrapText="1"/>
    </xf>
    <xf numFmtId="0" fontId="44" fillId="19" borderId="10" xfId="0" applyFont="1" applyFill="1" applyBorder="1" applyAlignment="1">
      <alignment horizontal="center" vertical="center" wrapText="1"/>
    </xf>
    <xf numFmtId="0" fontId="44" fillId="19" borderId="9" xfId="0" applyFont="1" applyFill="1" applyBorder="1" applyAlignment="1">
      <alignment horizontal="center" vertical="center" wrapText="1"/>
    </xf>
    <xf numFmtId="0" fontId="44" fillId="19" borderId="3" xfId="0" applyFont="1" applyFill="1" applyBorder="1" applyAlignment="1">
      <alignment horizontal="center" vertical="center" wrapText="1"/>
    </xf>
    <xf numFmtId="0" fontId="2" fillId="15" borderId="1" xfId="0" applyFont="1" applyFill="1" applyBorder="1" applyAlignment="1">
      <alignment horizontal="center" vertical="center" wrapText="1"/>
    </xf>
    <xf numFmtId="0" fontId="22" fillId="17" borderId="11" xfId="0" applyFont="1" applyFill="1" applyBorder="1" applyAlignment="1">
      <alignment horizontal="center" vertical="center" wrapText="1"/>
    </xf>
    <xf numFmtId="0" fontId="22" fillId="17" borderId="13" xfId="0" applyFont="1" applyFill="1" applyBorder="1" applyAlignment="1">
      <alignment horizontal="center" vertical="center" wrapText="1"/>
    </xf>
    <xf numFmtId="0" fontId="22" fillId="17" borderId="16" xfId="0" applyFont="1" applyFill="1" applyBorder="1" applyAlignment="1">
      <alignment horizontal="center" vertical="center" wrapText="1"/>
    </xf>
    <xf numFmtId="0" fontId="22" fillId="17" borderId="18" xfId="0" applyFont="1" applyFill="1" applyBorder="1" applyAlignment="1">
      <alignment horizontal="center" vertical="center" wrapText="1"/>
    </xf>
    <xf numFmtId="0" fontId="22" fillId="17" borderId="10" xfId="0" applyFont="1" applyFill="1" applyBorder="1" applyAlignment="1" applyProtection="1">
      <alignment horizontal="left" vertical="center"/>
      <protection locked="0"/>
    </xf>
    <xf numFmtId="0" fontId="22" fillId="17" borderId="9" xfId="0" applyFont="1" applyFill="1" applyBorder="1" applyAlignment="1" applyProtection="1">
      <alignment horizontal="left" vertical="center"/>
      <protection locked="0"/>
    </xf>
    <xf numFmtId="0" fontId="2" fillId="2" borderId="1" xfId="0" applyFont="1" applyFill="1" applyBorder="1" applyAlignment="1">
      <alignment horizontal="left" vertical="center" wrapText="1"/>
    </xf>
    <xf numFmtId="0" fontId="4" fillId="21" borderId="1" xfId="0" applyFont="1" applyFill="1" applyBorder="1" applyAlignment="1">
      <alignment horizontal="left" vertical="center" wrapText="1"/>
    </xf>
    <xf numFmtId="41" fontId="22" fillId="14" borderId="2" xfId="0" applyNumberFormat="1" applyFont="1" applyFill="1" applyBorder="1" applyAlignment="1">
      <alignment horizontal="center" vertical="center" wrapText="1"/>
    </xf>
    <xf numFmtId="41" fontId="22" fillId="14" borderId="19" xfId="0" applyNumberFormat="1" applyFont="1" applyFill="1" applyBorder="1" applyAlignment="1">
      <alignment horizontal="center" vertical="center" wrapText="1"/>
    </xf>
    <xf numFmtId="41" fontId="22" fillId="14" borderId="4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166" fontId="22" fillId="14" borderId="2" xfId="0" applyNumberFormat="1" applyFont="1" applyFill="1" applyBorder="1" applyAlignment="1">
      <alignment horizontal="center" vertical="center" wrapText="1"/>
    </xf>
    <xf numFmtId="166" fontId="22" fillId="14" borderId="4" xfId="0" applyNumberFormat="1" applyFont="1" applyFill="1" applyBorder="1" applyAlignment="1">
      <alignment horizontal="center" vertical="center" wrapText="1"/>
    </xf>
    <xf numFmtId="0" fontId="2" fillId="21" borderId="1" xfId="0" applyFont="1" applyFill="1" applyBorder="1" applyAlignment="1">
      <alignment horizontal="left" vertical="center" wrapText="1"/>
    </xf>
    <xf numFmtId="0" fontId="22" fillId="14" borderId="10" xfId="0" applyFont="1" applyFill="1" applyBorder="1" applyAlignment="1">
      <alignment horizontal="center" vertical="center" wrapText="1"/>
    </xf>
    <xf numFmtId="0" fontId="22" fillId="14" borderId="9" xfId="0" applyFont="1" applyFill="1" applyBorder="1" applyAlignment="1">
      <alignment horizontal="center" vertical="center" wrapText="1"/>
    </xf>
    <xf numFmtId="0" fontId="22" fillId="14" borderId="3" xfId="0" applyFont="1" applyFill="1" applyBorder="1" applyAlignment="1">
      <alignment horizontal="center" vertical="center" wrapText="1"/>
    </xf>
    <xf numFmtId="166" fontId="22" fillId="14" borderId="10" xfId="0" applyNumberFormat="1" applyFont="1" applyFill="1" applyBorder="1" applyAlignment="1">
      <alignment horizontal="center" vertical="center" wrapText="1"/>
    </xf>
    <xf numFmtId="166" fontId="22" fillId="14" borderId="3" xfId="0" applyNumberFormat="1" applyFont="1" applyFill="1" applyBorder="1" applyAlignment="1">
      <alignment horizontal="center" vertical="center" wrapText="1"/>
    </xf>
    <xf numFmtId="41" fontId="4" fillId="15" borderId="2" xfId="0" applyNumberFormat="1" applyFont="1" applyFill="1" applyBorder="1" applyAlignment="1">
      <alignment horizontal="center" vertical="center" wrapText="1"/>
    </xf>
    <xf numFmtId="41" fontId="4" fillId="15" borderId="4" xfId="0" applyNumberFormat="1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left" vertical="center" wrapText="1"/>
    </xf>
    <xf numFmtId="0" fontId="2" fillId="2" borderId="3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43" fillId="2" borderId="12" xfId="0" applyFont="1" applyFill="1" applyBorder="1" applyAlignment="1">
      <alignment horizontal="left" vertical="center"/>
    </xf>
    <xf numFmtId="166" fontId="22" fillId="14" borderId="19" xfId="0" applyNumberFormat="1" applyFont="1" applyFill="1" applyBorder="1" applyAlignment="1">
      <alignment horizontal="center" vertical="center" wrapText="1"/>
    </xf>
    <xf numFmtId="0" fontId="2" fillId="15" borderId="0" xfId="0" applyFont="1" applyFill="1" applyAlignment="1">
      <alignment horizontal="left" vertical="center"/>
    </xf>
    <xf numFmtId="0" fontId="22" fillId="14" borderId="1" xfId="0" applyFont="1" applyFill="1" applyBorder="1" applyAlignment="1">
      <alignment horizontal="center" vertical="center" textRotation="90"/>
    </xf>
    <xf numFmtId="41" fontId="22" fillId="14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left" vertical="center"/>
    </xf>
    <xf numFmtId="41" fontId="2" fillId="2" borderId="1" xfId="0" applyNumberFormat="1" applyFont="1" applyFill="1" applyBorder="1" applyAlignment="1">
      <alignment horizontal="left" vertical="center" wrapText="1"/>
    </xf>
    <xf numFmtId="41" fontId="22" fillId="14" borderId="1" xfId="0" applyNumberFormat="1" applyFont="1" applyFill="1" applyBorder="1" applyAlignment="1">
      <alignment horizontal="left" vertical="center" wrapText="1"/>
    </xf>
    <xf numFmtId="0" fontId="2" fillId="2" borderId="0" xfId="0" applyFont="1" applyFill="1" applyAlignment="1">
      <alignment horizontal="center" vertical="center" wrapText="1"/>
    </xf>
    <xf numFmtId="0" fontId="22" fillId="14" borderId="1" xfId="0" applyFont="1" applyFill="1" applyBorder="1" applyAlignment="1" applyProtection="1">
      <alignment horizontal="left" vertical="center"/>
      <protection locked="0"/>
    </xf>
    <xf numFmtId="0" fontId="3" fillId="5" borderId="11" xfId="0" applyFont="1" applyFill="1" applyBorder="1" applyAlignment="1">
      <alignment horizontal="center" vertical="center" wrapText="1"/>
    </xf>
    <xf numFmtId="0" fontId="3" fillId="5" borderId="12" xfId="0" applyFont="1" applyFill="1" applyBorder="1" applyAlignment="1">
      <alignment horizontal="center" vertical="center" wrapText="1"/>
    </xf>
    <xf numFmtId="0" fontId="3" fillId="5" borderId="13" xfId="0" applyFont="1" applyFill="1" applyBorder="1" applyAlignment="1">
      <alignment horizontal="center" vertical="center" wrapText="1"/>
    </xf>
    <xf numFmtId="0" fontId="3" fillId="5" borderId="14" xfId="0" applyFont="1" applyFill="1" applyBorder="1" applyAlignment="1">
      <alignment horizontal="center" vertical="center" wrapText="1"/>
    </xf>
    <xf numFmtId="0" fontId="3" fillId="5" borderId="0" xfId="0" applyFont="1" applyFill="1" applyAlignment="1">
      <alignment horizontal="center" vertical="center" wrapText="1"/>
    </xf>
    <xf numFmtId="0" fontId="3" fillId="5" borderId="15" xfId="0" applyFont="1" applyFill="1" applyBorder="1" applyAlignment="1">
      <alignment horizontal="center" vertical="center" wrapText="1"/>
    </xf>
    <xf numFmtId="0" fontId="3" fillId="5" borderId="16" xfId="0" applyFont="1" applyFill="1" applyBorder="1" applyAlignment="1">
      <alignment horizontal="center" vertical="center" wrapText="1"/>
    </xf>
    <xf numFmtId="0" fontId="3" fillId="5" borderId="17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0" fontId="22" fillId="14" borderId="2" xfId="0" applyFont="1" applyFill="1" applyBorder="1" applyAlignment="1">
      <alignment horizontal="center" vertical="center" textRotation="90"/>
    </xf>
    <xf numFmtId="0" fontId="22" fillId="14" borderId="19" xfId="0" applyFont="1" applyFill="1" applyBorder="1" applyAlignment="1">
      <alignment horizontal="center" vertical="center" textRotation="90"/>
    </xf>
    <xf numFmtId="0" fontId="22" fillId="14" borderId="4" xfId="0" applyFont="1" applyFill="1" applyBorder="1" applyAlignment="1">
      <alignment horizontal="center" vertical="center" textRotation="90"/>
    </xf>
    <xf numFmtId="0" fontId="2" fillId="22" borderId="1" xfId="0" applyFont="1" applyFill="1" applyBorder="1" applyAlignment="1" applyProtection="1">
      <alignment horizontal="center" vertical="center" wrapText="1"/>
      <protection locked="0"/>
    </xf>
    <xf numFmtId="0" fontId="2" fillId="22" borderId="11" xfId="0" applyFont="1" applyFill="1" applyBorder="1" applyAlignment="1">
      <alignment horizontal="center" vertical="center" wrapText="1"/>
    </xf>
    <xf numFmtId="0" fontId="2" fillId="22" borderId="13" xfId="0" applyFont="1" applyFill="1" applyBorder="1" applyAlignment="1">
      <alignment horizontal="center" vertical="center" wrapText="1"/>
    </xf>
    <xf numFmtId="0" fontId="2" fillId="22" borderId="16" xfId="0" applyFont="1" applyFill="1" applyBorder="1" applyAlignment="1">
      <alignment horizontal="center" vertical="center" wrapText="1"/>
    </xf>
    <xf numFmtId="0" fontId="2" fillId="22" borderId="18" xfId="0" applyFont="1" applyFill="1" applyBorder="1" applyAlignment="1">
      <alignment horizontal="center" vertical="center" wrapText="1"/>
    </xf>
    <xf numFmtId="0" fontId="2" fillId="20" borderId="2" xfId="0" applyFont="1" applyFill="1" applyBorder="1" applyAlignment="1">
      <alignment horizontal="center" vertical="center" wrapText="1"/>
    </xf>
    <xf numFmtId="0" fontId="2" fillId="20" borderId="4" xfId="0" applyFont="1" applyFill="1" applyBorder="1" applyAlignment="1">
      <alignment horizontal="center" vertical="center" wrapText="1"/>
    </xf>
    <xf numFmtId="0" fontId="2" fillId="20" borderId="1" xfId="0" applyFont="1" applyFill="1" applyBorder="1" applyAlignment="1" applyProtection="1">
      <alignment horizontal="center" vertical="center" wrapText="1"/>
      <protection locked="0"/>
    </xf>
    <xf numFmtId="0" fontId="2" fillId="2" borderId="0" xfId="0" applyFont="1" applyFill="1" applyAlignment="1">
      <alignment horizontal="center" vertical="center" wrapText="1" readingOrder="1"/>
    </xf>
    <xf numFmtId="0" fontId="2" fillId="20" borderId="1" xfId="0" applyFont="1" applyFill="1" applyBorder="1" applyAlignment="1">
      <alignment horizontal="center" vertical="center" wrapText="1"/>
    </xf>
    <xf numFmtId="0" fontId="28" fillId="5" borderId="11" xfId="0" applyFont="1" applyFill="1" applyBorder="1" applyAlignment="1">
      <alignment horizontal="justify" vertical="center" wrapText="1"/>
    </xf>
    <xf numFmtId="0" fontId="28" fillId="5" borderId="12" xfId="0" applyFont="1" applyFill="1" applyBorder="1" applyAlignment="1">
      <alignment horizontal="justify" vertical="center" wrapText="1"/>
    </xf>
    <xf numFmtId="0" fontId="28" fillId="5" borderId="13" xfId="0" applyFont="1" applyFill="1" applyBorder="1" applyAlignment="1">
      <alignment horizontal="justify" vertical="center" wrapText="1"/>
    </xf>
    <xf numFmtId="0" fontId="28" fillId="5" borderId="14" xfId="0" applyFont="1" applyFill="1" applyBorder="1" applyAlignment="1">
      <alignment horizontal="justify" vertical="center" wrapText="1"/>
    </xf>
    <xf numFmtId="0" fontId="28" fillId="5" borderId="0" xfId="0" applyFont="1" applyFill="1" applyBorder="1" applyAlignment="1">
      <alignment horizontal="justify" vertical="center" wrapText="1"/>
    </xf>
    <xf numFmtId="0" fontId="28" fillId="5" borderId="0" xfId="0" applyFont="1" applyFill="1" applyAlignment="1">
      <alignment horizontal="justify" vertical="center" wrapText="1"/>
    </xf>
    <xf numFmtId="0" fontId="28" fillId="5" borderId="15" xfId="0" applyFont="1" applyFill="1" applyBorder="1" applyAlignment="1">
      <alignment horizontal="justify" vertical="center" wrapText="1"/>
    </xf>
    <xf numFmtId="0" fontId="28" fillId="5" borderId="16" xfId="0" applyFont="1" applyFill="1" applyBorder="1" applyAlignment="1">
      <alignment horizontal="justify" vertical="center" wrapText="1"/>
    </xf>
    <xf numFmtId="0" fontId="28" fillId="5" borderId="17" xfId="0" applyFont="1" applyFill="1" applyBorder="1" applyAlignment="1">
      <alignment horizontal="justify" vertical="center" wrapText="1"/>
    </xf>
    <xf numFmtId="0" fontId="28" fillId="5" borderId="18" xfId="0" applyFont="1" applyFill="1" applyBorder="1" applyAlignment="1">
      <alignment horizontal="justify" vertical="center" wrapText="1"/>
    </xf>
    <xf numFmtId="170" fontId="22" fillId="14" borderId="1" xfId="4" applyNumberFormat="1" applyFont="1" applyFill="1" applyBorder="1" applyAlignment="1">
      <alignment horizontal="center" vertical="center" wrapText="1"/>
    </xf>
    <xf numFmtId="0" fontId="27" fillId="14" borderId="10" xfId="0" applyFont="1" applyFill="1" applyBorder="1" applyAlignment="1">
      <alignment horizontal="left" vertical="center"/>
    </xf>
    <xf numFmtId="0" fontId="27" fillId="14" borderId="9" xfId="0" applyFont="1" applyFill="1" applyBorder="1" applyAlignment="1">
      <alignment horizontal="left" vertical="center"/>
    </xf>
    <xf numFmtId="0" fontId="27" fillId="14" borderId="3" xfId="0" applyFont="1" applyFill="1" applyBorder="1" applyAlignment="1">
      <alignment horizontal="left" vertical="center"/>
    </xf>
    <xf numFmtId="165" fontId="27" fillId="14" borderId="1" xfId="4" applyFont="1" applyFill="1" applyBorder="1" applyAlignment="1">
      <alignment horizontal="center" vertical="center" wrapText="1"/>
    </xf>
    <xf numFmtId="0" fontId="27" fillId="14" borderId="1" xfId="0" applyFont="1" applyFill="1" applyBorder="1" applyAlignment="1">
      <alignment horizontal="center" vertical="center" wrapText="1"/>
    </xf>
    <xf numFmtId="0" fontId="27" fillId="14" borderId="1" xfId="0" applyFont="1" applyFill="1" applyBorder="1" applyAlignment="1">
      <alignment horizontal="center" vertical="center"/>
    </xf>
    <xf numFmtId="0" fontId="22" fillId="14" borderId="10" xfId="0" applyFont="1" applyFill="1" applyBorder="1" applyAlignment="1" applyProtection="1">
      <alignment horizontal="left" vertical="center"/>
      <protection locked="0"/>
    </xf>
    <xf numFmtId="0" fontId="22" fillId="14" borderId="9" xfId="0" applyFont="1" applyFill="1" applyBorder="1" applyAlignment="1" applyProtection="1">
      <alignment horizontal="left" vertical="center"/>
      <protection locked="0"/>
    </xf>
    <xf numFmtId="0" fontId="22" fillId="14" borderId="3" xfId="0" applyFont="1" applyFill="1" applyBorder="1" applyAlignment="1" applyProtection="1">
      <alignment horizontal="left" vertical="center"/>
      <protection locked="0"/>
    </xf>
    <xf numFmtId="0" fontId="22" fillId="14" borderId="11" xfId="0" applyFont="1" applyFill="1" applyBorder="1" applyAlignment="1">
      <alignment horizontal="left" vertical="center"/>
    </xf>
    <xf numFmtId="0" fontId="22" fillId="14" borderId="12" xfId="0" applyFont="1" applyFill="1" applyBorder="1" applyAlignment="1">
      <alignment horizontal="left" vertical="center"/>
    </xf>
    <xf numFmtId="0" fontId="27" fillId="14" borderId="10" xfId="0" applyFont="1" applyFill="1" applyBorder="1" applyAlignment="1">
      <alignment horizontal="center" vertical="center"/>
    </xf>
    <xf numFmtId="0" fontId="27" fillId="14" borderId="9" xfId="0" applyFont="1" applyFill="1" applyBorder="1" applyAlignment="1">
      <alignment horizontal="center" vertical="center"/>
    </xf>
    <xf numFmtId="41" fontId="22" fillId="17" borderId="1" xfId="13" applyNumberFormat="1" applyFont="1" applyFill="1" applyBorder="1" applyAlignment="1">
      <alignment horizontal="center" vertical="center" wrapText="1"/>
    </xf>
    <xf numFmtId="41" fontId="22" fillId="17" borderId="2" xfId="13" applyNumberFormat="1" applyFont="1" applyFill="1" applyBorder="1" applyAlignment="1">
      <alignment horizontal="center" vertical="center" wrapText="1"/>
    </xf>
    <xf numFmtId="0" fontId="22" fillId="17" borderId="1" xfId="13" applyFont="1" applyFill="1" applyBorder="1" applyAlignment="1">
      <alignment horizontal="left" vertical="center" readingOrder="1"/>
    </xf>
    <xf numFmtId="0" fontId="22" fillId="17" borderId="1" xfId="13" applyFont="1" applyFill="1" applyBorder="1" applyAlignment="1">
      <alignment horizontal="left" vertical="center" wrapText="1" readingOrder="1"/>
    </xf>
    <xf numFmtId="0" fontId="22" fillId="17" borderId="1" xfId="13" applyFont="1" applyFill="1" applyBorder="1" applyAlignment="1">
      <alignment horizontal="right"/>
    </xf>
    <xf numFmtId="0" fontId="22" fillId="17" borderId="1" xfId="13" applyFont="1" applyFill="1" applyBorder="1" applyAlignment="1">
      <alignment horizontal="center" vertical="center" wrapText="1" readingOrder="1"/>
    </xf>
    <xf numFmtId="0" fontId="22" fillId="17" borderId="2" xfId="13" applyFont="1" applyFill="1" applyBorder="1" applyAlignment="1">
      <alignment horizontal="center" vertical="center" wrapText="1" readingOrder="1"/>
    </xf>
    <xf numFmtId="0" fontId="22" fillId="17" borderId="1" xfId="13" applyFont="1" applyFill="1" applyBorder="1" applyAlignment="1">
      <alignment horizontal="center" vertical="center" wrapText="1"/>
    </xf>
    <xf numFmtId="0" fontId="76" fillId="0" borderId="0" xfId="0" applyNumberFormat="1" applyFont="1" applyAlignment="1">
      <alignment horizontal="left" vertical="top" wrapText="1" shrinkToFit="1" readingOrder="1"/>
    </xf>
    <xf numFmtId="0" fontId="77" fillId="0" borderId="0" xfId="0" applyNumberFormat="1" applyFont="1" applyAlignment="1">
      <alignment horizontal="left" vertical="top" wrapText="1" shrinkToFit="1" readingOrder="1"/>
    </xf>
    <xf numFmtId="0" fontId="78" fillId="29" borderId="0" xfId="0" applyNumberFormat="1" applyFont="1" applyFill="1" applyAlignment="1">
      <alignment horizontal="left" vertical="top" wrapText="1" shrinkToFit="1" readingOrder="1"/>
    </xf>
    <xf numFmtId="0" fontId="79" fillId="0" borderId="0" xfId="0" applyNumberFormat="1" applyFont="1" applyAlignment="1">
      <alignment horizontal="right" vertical="top" wrapText="1" shrinkToFit="1" readingOrder="1"/>
    </xf>
    <xf numFmtId="0" fontId="80" fillId="0" borderId="0" xfId="0" applyNumberFormat="1" applyFont="1" applyAlignment="1">
      <alignment horizontal="center" vertical="top" wrapText="1" shrinkToFit="1" readingOrder="1"/>
    </xf>
    <xf numFmtId="0" fontId="81" fillId="29" borderId="0" xfId="0" applyNumberFormat="1" applyFont="1" applyFill="1" applyAlignment="1">
      <alignment horizontal="left" vertical="top" wrapText="1" shrinkToFit="1" readingOrder="1"/>
    </xf>
    <xf numFmtId="0" fontId="81" fillId="29" borderId="0" xfId="0" applyNumberFormat="1" applyFont="1" applyFill="1" applyAlignment="1">
      <alignment horizontal="right" vertical="top" wrapText="1" shrinkToFit="1" readingOrder="1"/>
    </xf>
    <xf numFmtId="49" fontId="79" fillId="0" borderId="47" xfId="0" applyNumberFormat="1" applyFont="1" applyBorder="1" applyAlignment="1">
      <alignment horizontal="left" vertical="center" wrapText="1" shrinkToFit="1" readingOrder="1"/>
    </xf>
    <xf numFmtId="4" fontId="79" fillId="0" borderId="44" xfId="0" applyNumberFormat="1" applyFont="1" applyBorder="1" applyAlignment="1">
      <alignment horizontal="right" vertical="center" wrapText="1" shrinkToFit="1" readingOrder="1"/>
    </xf>
    <xf numFmtId="49" fontId="79" fillId="0" borderId="47" xfId="0" applyNumberFormat="1" applyFont="1" applyBorder="1" applyAlignment="1">
      <alignment horizontal="left" vertical="center" wrapText="1" indent="1" shrinkToFit="1" readingOrder="1"/>
    </xf>
    <xf numFmtId="49" fontId="79" fillId="0" borderId="47" xfId="0" applyNumberFormat="1" applyFont="1" applyBorder="1" applyAlignment="1">
      <alignment horizontal="left" vertical="center" wrapText="1" indent="3" shrinkToFit="1" readingOrder="1"/>
    </xf>
    <xf numFmtId="49" fontId="79" fillId="0" borderId="47" xfId="0" applyNumberFormat="1" applyFont="1" applyBorder="1" applyAlignment="1">
      <alignment horizontal="left" vertical="center" wrapText="1" indent="5" shrinkToFit="1" readingOrder="1"/>
    </xf>
    <xf numFmtId="49" fontId="79" fillId="0" borderId="47" xfId="0" applyNumberFormat="1" applyFont="1" applyBorder="1" applyAlignment="1">
      <alignment horizontal="left" vertical="center" wrapText="1" indent="7" shrinkToFit="1" readingOrder="1"/>
    </xf>
    <xf numFmtId="49" fontId="82" fillId="0" borderId="47" xfId="0" applyNumberFormat="1" applyFont="1" applyBorder="1" applyAlignment="1">
      <alignment horizontal="left" vertical="center" wrapText="1" indent="10" shrinkToFit="1" readingOrder="1"/>
    </xf>
    <xf numFmtId="4" fontId="82" fillId="0" borderId="44" xfId="0" applyNumberFormat="1" applyFont="1" applyBorder="1" applyAlignment="1">
      <alignment horizontal="right" vertical="center" wrapText="1" shrinkToFit="1" readingOrder="1"/>
    </xf>
    <xf numFmtId="49" fontId="82" fillId="0" borderId="47" xfId="0" applyNumberFormat="1" applyFont="1" applyBorder="1" applyAlignment="1">
      <alignment horizontal="left" vertical="center" wrapText="1" indent="5" shrinkToFit="1" readingOrder="1"/>
    </xf>
    <xf numFmtId="49" fontId="82" fillId="0" borderId="47" xfId="0" applyNumberFormat="1" applyFont="1" applyBorder="1" applyAlignment="1">
      <alignment horizontal="left" vertical="center" wrapText="1" indent="7" shrinkToFit="1" readingOrder="1"/>
    </xf>
    <xf numFmtId="49" fontId="84" fillId="0" borderId="0" xfId="0" applyNumberFormat="1" applyFont="1" applyAlignment="1">
      <alignment horizontal="right" vertical="top" wrapText="1" shrinkToFit="1" readingOrder="1"/>
    </xf>
    <xf numFmtId="0" fontId="84" fillId="0" borderId="0" xfId="0" applyNumberFormat="1" applyFont="1" applyAlignment="1">
      <alignment horizontal="left" vertical="top" wrapText="1" shrinkToFit="1" readingOrder="1"/>
    </xf>
    <xf numFmtId="0" fontId="83" fillId="0" borderId="0" xfId="0" applyNumberFormat="1" applyFont="1" applyAlignment="1">
      <alignment horizontal="left" vertical="center" wrapText="1" shrinkToFit="1" readingOrder="1"/>
    </xf>
    <xf numFmtId="0" fontId="83" fillId="0" borderId="0" xfId="0" applyNumberFormat="1" applyFont="1" applyAlignment="1">
      <alignment horizontal="right" vertical="center" wrapText="1" shrinkToFit="1" readingOrder="1"/>
    </xf>
    <xf numFmtId="0" fontId="78" fillId="0" borderId="0" xfId="0" applyNumberFormat="1" applyFont="1" applyAlignment="1">
      <alignment horizontal="left" vertical="center" wrapText="1" shrinkToFit="1" readingOrder="1"/>
    </xf>
    <xf numFmtId="0" fontId="66" fillId="0" borderId="0" xfId="0" applyNumberFormat="1" applyFont="1" applyAlignment="1">
      <alignment horizontal="left" vertical="center" wrapText="1" shrinkToFit="1" readingOrder="1"/>
    </xf>
    <xf numFmtId="49" fontId="73" fillId="0" borderId="0" xfId="0" applyNumberFormat="1" applyFont="1" applyAlignment="1">
      <alignment horizontal="right" vertical="top" wrapText="1" shrinkToFit="1" readingOrder="1"/>
    </xf>
    <xf numFmtId="49" fontId="71" fillId="30" borderId="0" xfId="0" applyNumberFormat="1" applyFont="1" applyFill="1" applyAlignment="1">
      <alignment horizontal="left" vertical="center" wrapText="1" shrinkToFit="1" readingOrder="1"/>
    </xf>
    <xf numFmtId="0" fontId="72" fillId="30" borderId="0" xfId="0" applyNumberFormat="1" applyFont="1" applyFill="1" applyAlignment="1">
      <alignment horizontal="left" vertical="top" wrapText="1" shrinkToFit="1" readingOrder="1"/>
    </xf>
    <xf numFmtId="4" fontId="72" fillId="30" borderId="0" xfId="0" applyNumberFormat="1" applyFont="1" applyFill="1" applyAlignment="1">
      <alignment horizontal="right" vertical="center" wrapText="1" shrinkToFit="1" readingOrder="1"/>
    </xf>
    <xf numFmtId="49" fontId="73" fillId="0" borderId="0" xfId="0" applyNumberFormat="1" applyFont="1" applyAlignment="1">
      <alignment horizontal="left" vertical="center" wrapText="1" shrinkToFit="1" readingOrder="1"/>
    </xf>
    <xf numFmtId="0" fontId="72" fillId="0" borderId="0" xfId="0" applyNumberFormat="1" applyFont="1" applyAlignment="1">
      <alignment horizontal="left" vertical="top" wrapText="1" shrinkToFit="1" readingOrder="1"/>
    </xf>
    <xf numFmtId="4" fontId="72" fillId="0" borderId="0" xfId="0" applyNumberFormat="1" applyFont="1" applyAlignment="1">
      <alignment horizontal="right" vertical="center" wrapText="1" shrinkToFit="1" readingOrder="1"/>
    </xf>
    <xf numFmtId="4" fontId="74" fillId="0" borderId="0" xfId="0" applyNumberFormat="1" applyFont="1" applyAlignment="1">
      <alignment horizontal="right" vertical="center" wrapText="1" shrinkToFit="1" readingOrder="1"/>
    </xf>
    <xf numFmtId="49" fontId="73" fillId="8" borderId="0" xfId="0" applyNumberFormat="1" applyFont="1" applyFill="1" applyAlignment="1">
      <alignment horizontal="left" vertical="center" wrapText="1" shrinkToFit="1" readingOrder="1"/>
    </xf>
    <xf numFmtId="49" fontId="75" fillId="30" borderId="0" xfId="0" applyNumberFormat="1" applyFont="1" applyFill="1" applyAlignment="1">
      <alignment horizontal="left" vertical="center" wrapText="1" shrinkToFit="1" readingOrder="1"/>
    </xf>
    <xf numFmtId="49" fontId="75" fillId="0" borderId="0" xfId="0" applyNumberFormat="1" applyFont="1" applyAlignment="1">
      <alignment horizontal="left" vertical="center" wrapText="1" shrinkToFit="1" readingOrder="1"/>
    </xf>
    <xf numFmtId="0" fontId="74" fillId="0" borderId="0" xfId="0" applyNumberFormat="1" applyFont="1" applyAlignment="1">
      <alignment horizontal="left" vertical="top" wrapText="1" shrinkToFit="1" readingOrder="1"/>
    </xf>
    <xf numFmtId="0" fontId="74" fillId="30" borderId="0" xfId="0" applyNumberFormat="1" applyFont="1" applyFill="1" applyAlignment="1">
      <alignment horizontal="left" vertical="top" wrapText="1" shrinkToFit="1" readingOrder="1"/>
    </xf>
    <xf numFmtId="4" fontId="74" fillId="30" borderId="0" xfId="0" applyNumberFormat="1" applyFont="1" applyFill="1" applyAlignment="1">
      <alignment horizontal="right" vertical="center" wrapText="1" shrinkToFit="1" readingOrder="1"/>
    </xf>
    <xf numFmtId="49" fontId="71" fillId="0" borderId="0" xfId="0" applyNumberFormat="1" applyFont="1" applyAlignment="1">
      <alignment horizontal="left" vertical="center" wrapText="1" shrinkToFit="1" readingOrder="1"/>
    </xf>
    <xf numFmtId="49" fontId="71" fillId="2" borderId="0" xfId="0" applyNumberFormat="1" applyFont="1" applyFill="1" applyAlignment="1">
      <alignment horizontal="left" vertical="center" wrapText="1" shrinkToFit="1" readingOrder="1"/>
    </xf>
    <xf numFmtId="49" fontId="85" fillId="8" borderId="0" xfId="0" applyNumberFormat="1" applyFont="1" applyFill="1" applyAlignment="1">
      <alignment horizontal="left" vertical="center" wrapText="1" shrinkToFit="1" readingOrder="1"/>
    </xf>
    <xf numFmtId="0" fontId="72" fillId="2" borderId="0" xfId="0" applyNumberFormat="1" applyFont="1" applyFill="1" applyAlignment="1">
      <alignment horizontal="left" vertical="top" wrapText="1" shrinkToFit="1" readingOrder="1"/>
    </xf>
    <xf numFmtId="4" fontId="72" fillId="2" borderId="0" xfId="0" applyNumberFormat="1" applyFont="1" applyFill="1" applyAlignment="1">
      <alignment horizontal="right" vertical="center" wrapText="1" shrinkToFit="1" readingOrder="1"/>
    </xf>
    <xf numFmtId="49" fontId="73" fillId="30" borderId="0" xfId="0" applyNumberFormat="1" applyFont="1" applyFill="1" applyAlignment="1">
      <alignment horizontal="left" vertical="center" wrapText="1" shrinkToFit="1" readingOrder="1"/>
    </xf>
    <xf numFmtId="0" fontId="70" fillId="29" borderId="45" xfId="0" applyNumberFormat="1" applyFont="1" applyFill="1" applyBorder="1" applyAlignment="1">
      <alignment horizontal="left" vertical="center" wrapText="1" shrinkToFit="1" readingOrder="1"/>
    </xf>
    <xf numFmtId="0" fontId="70" fillId="29" borderId="46" xfId="0" applyNumberFormat="1" applyFont="1" applyFill="1" applyBorder="1" applyAlignment="1">
      <alignment horizontal="center" vertical="center" wrapText="1" shrinkToFit="1" readingOrder="1"/>
    </xf>
    <xf numFmtId="0" fontId="69" fillId="0" borderId="0" xfId="0" applyNumberFormat="1" applyFont="1" applyAlignment="1">
      <alignment horizontal="center" vertical="top" wrapText="1" shrinkToFit="1" readingOrder="1"/>
    </xf>
    <xf numFmtId="0" fontId="70" fillId="29" borderId="43" xfId="0" applyNumberFormat="1" applyFont="1" applyFill="1" applyBorder="1" applyAlignment="1">
      <alignment horizontal="left" vertical="top" wrapText="1" shrinkToFit="1" readingOrder="1"/>
    </xf>
    <xf numFmtId="0" fontId="70" fillId="29" borderId="44" xfId="0" applyNumberFormat="1" applyFont="1" applyFill="1" applyBorder="1" applyAlignment="1">
      <alignment horizontal="center" vertical="center" wrapText="1" shrinkToFit="1" readingOrder="1"/>
    </xf>
    <xf numFmtId="0" fontId="64" fillId="0" borderId="0" xfId="0" applyNumberFormat="1" applyFont="1" applyAlignment="1">
      <alignment horizontal="left" vertical="top" wrapText="1" shrinkToFit="1" readingOrder="1"/>
    </xf>
    <xf numFmtId="0" fontId="65" fillId="0" borderId="0" xfId="0" applyNumberFormat="1" applyFont="1" applyAlignment="1">
      <alignment horizontal="left" vertical="top" wrapText="1" shrinkToFit="1" readingOrder="1"/>
    </xf>
    <xf numFmtId="0" fontId="66" fillId="29" borderId="0" xfId="0" applyNumberFormat="1" applyFont="1" applyFill="1" applyAlignment="1">
      <alignment horizontal="left" vertical="top" wrapText="1" shrinkToFit="1" readingOrder="1"/>
    </xf>
    <xf numFmtId="0" fontId="67" fillId="0" borderId="0" xfId="0" applyNumberFormat="1" applyFont="1" applyAlignment="1">
      <alignment horizontal="right" vertical="top" wrapText="1" shrinkToFit="1" readingOrder="1"/>
    </xf>
    <xf numFmtId="0" fontId="68" fillId="0" borderId="0" xfId="0" applyNumberFormat="1" applyFont="1" applyAlignment="1">
      <alignment horizontal="center" vertical="top" wrapText="1" shrinkToFit="1" readingOrder="1"/>
    </xf>
    <xf numFmtId="0" fontId="57" fillId="24" borderId="29" xfId="0" applyFont="1" applyFill="1" applyBorder="1" applyAlignment="1">
      <alignment horizontal="center" vertical="center"/>
    </xf>
    <xf numFmtId="9" fontId="57" fillId="24" borderId="29" xfId="3" applyFont="1" applyFill="1" applyBorder="1" applyAlignment="1">
      <alignment horizontal="center" vertical="center"/>
    </xf>
    <xf numFmtId="165" fontId="57" fillId="24" borderId="30" xfId="4" applyFont="1" applyFill="1" applyBorder="1" applyAlignment="1">
      <alignment horizontal="center" vertical="center"/>
    </xf>
    <xf numFmtId="165" fontId="57" fillId="24" borderId="31" xfId="4" applyFont="1" applyFill="1" applyBorder="1" applyAlignment="1">
      <alignment horizontal="center" vertical="center"/>
    </xf>
    <xf numFmtId="165" fontId="57" fillId="24" borderId="32" xfId="4" applyFont="1" applyFill="1" applyBorder="1" applyAlignment="1">
      <alignment horizontal="center" vertical="center"/>
    </xf>
    <xf numFmtId="165" fontId="57" fillId="24" borderId="34" xfId="4" applyFont="1" applyFill="1" applyBorder="1" applyAlignment="1">
      <alignment horizontal="center" vertical="center"/>
    </xf>
    <xf numFmtId="165" fontId="57" fillId="24" borderId="35" xfId="4" applyFont="1" applyFill="1" applyBorder="1" applyAlignment="1">
      <alignment horizontal="center" vertical="center"/>
    </xf>
    <xf numFmtId="165" fontId="57" fillId="24" borderId="36" xfId="4" applyFont="1" applyFill="1" applyBorder="1" applyAlignment="1">
      <alignment horizontal="center" vertical="center"/>
    </xf>
    <xf numFmtId="0" fontId="22" fillId="24" borderId="14" xfId="0" applyFont="1" applyFill="1" applyBorder="1" applyAlignment="1">
      <alignment horizontal="center" vertical="center" wrapText="1"/>
    </xf>
    <xf numFmtId="0" fontId="22" fillId="24" borderId="39" xfId="0" applyFont="1" applyFill="1" applyBorder="1" applyAlignment="1">
      <alignment horizontal="center" vertical="center" wrapText="1"/>
    </xf>
    <xf numFmtId="49" fontId="57" fillId="24" borderId="29" xfId="4" applyNumberFormat="1" applyFont="1" applyFill="1" applyBorder="1" applyAlignment="1">
      <alignment horizontal="center" vertical="center"/>
    </xf>
    <xf numFmtId="49" fontId="57" fillId="24" borderId="33" xfId="4" applyNumberFormat="1" applyFont="1" applyFill="1" applyBorder="1" applyAlignment="1">
      <alignment horizontal="center" vertical="center"/>
    </xf>
    <xf numFmtId="49" fontId="57" fillId="24" borderId="40" xfId="4" applyNumberFormat="1" applyFont="1" applyFill="1" applyBorder="1" applyAlignment="1">
      <alignment horizontal="center" vertical="center"/>
    </xf>
    <xf numFmtId="49" fontId="57" fillId="24" borderId="33" xfId="4" applyNumberFormat="1" applyFont="1" applyFill="1" applyBorder="1" applyAlignment="1">
      <alignment horizontal="center" vertical="center" wrapText="1"/>
    </xf>
    <xf numFmtId="169" fontId="57" fillId="24" borderId="30" xfId="4" applyNumberFormat="1" applyFont="1" applyFill="1" applyBorder="1" applyAlignment="1">
      <alignment horizontal="center" vertical="center" wrapText="1"/>
    </xf>
    <xf numFmtId="169" fontId="57" fillId="24" borderId="34" xfId="4" applyNumberFormat="1" applyFont="1" applyFill="1" applyBorder="1" applyAlignment="1">
      <alignment horizontal="center" vertical="center" wrapText="1"/>
    </xf>
    <xf numFmtId="169" fontId="57" fillId="24" borderId="0" xfId="4" applyNumberFormat="1" applyFont="1" applyFill="1" applyBorder="1" applyAlignment="1">
      <alignment horizontal="center" vertical="center" wrapText="1"/>
    </xf>
  </cellXfs>
  <cellStyles count="19">
    <cellStyle name="Bom" xfId="1" builtinId="26"/>
    <cellStyle name="Moeda" xfId="15" builtinId="4"/>
    <cellStyle name="Moeda 2" xfId="6" xr:uid="{00000000-0005-0000-0000-000002000000}"/>
    <cellStyle name="Neutro" xfId="2" builtinId="28"/>
    <cellStyle name="Normal" xfId="0" builtinId="0"/>
    <cellStyle name="Normal 2" xfId="5" xr:uid="{00000000-0005-0000-0000-000005000000}"/>
    <cellStyle name="Normal 2 2" xfId="14" xr:uid="{00000000-0005-0000-0000-000006000000}"/>
    <cellStyle name="Normal 3" xfId="8" xr:uid="{00000000-0005-0000-0000-000007000000}"/>
    <cellStyle name="Normal 3 2" xfId="9" xr:uid="{00000000-0005-0000-0000-000008000000}"/>
    <cellStyle name="Normal 3 2 2" xfId="13" xr:uid="{00000000-0005-0000-0000-000009000000}"/>
    <cellStyle name="Normal 4" xfId="18" xr:uid="{00000000-0005-0000-0000-00000A000000}"/>
    <cellStyle name="Porcentagem" xfId="3" builtinId="5"/>
    <cellStyle name="Porcentagem 2" xfId="12" xr:uid="{00000000-0005-0000-0000-00000C000000}"/>
    <cellStyle name="Separador de milhares 2" xfId="16" xr:uid="{00000000-0005-0000-0000-00000D000000}"/>
    <cellStyle name="Vírgula" xfId="4" builtinId="3"/>
    <cellStyle name="Vírgula 2" xfId="7" xr:uid="{00000000-0005-0000-0000-00000F000000}"/>
    <cellStyle name="Vírgula 2 2" xfId="11" xr:uid="{00000000-0005-0000-0000-000010000000}"/>
    <cellStyle name="Vírgula 3" xfId="17" xr:uid="{00000000-0005-0000-0000-000011000000}"/>
    <cellStyle name="Vírgula 4" xfId="10" xr:uid="{00000000-0005-0000-0000-000012000000}"/>
  </cellStyles>
  <dxfs count="81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600"/>
      </font>
      <fill>
        <patternFill>
          <bgColor rgb="FF006600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ont>
        <color rgb="FF006600"/>
      </font>
      <fill>
        <patternFill>
          <bgColor rgb="FF006600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6900"/>
      <color rgb="FF777777"/>
      <color rgb="FF008080"/>
      <color rgb="FF009999"/>
      <color rgb="FF33CCCC"/>
      <color rgb="FFF2F2F2"/>
      <color rgb="FFFFFFFF"/>
      <color rgb="FFF6FAF4"/>
      <color rgb="FFB9FFFF"/>
      <color rgb="FFD7E9E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microsoft.com/office/2017/06/relationships/rdRichValueStructure" Target="richData/rdrichvaluestructure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styles" Target="styles.xml"/><Relationship Id="rId30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g"/><Relationship Id="rId1" Type="http://schemas.openxmlformats.org/officeDocument/2006/relationships/image" Target="../media/image4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-340762</xdr:rowOff>
    </xdr:from>
    <xdr:to>
      <xdr:col>3</xdr:col>
      <xdr:colOff>294528</xdr:colOff>
      <xdr:row>0</xdr:row>
      <xdr:rowOff>744328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-340762"/>
          <a:ext cx="7562103" cy="10850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28</xdr:row>
      <xdr:rowOff>9525</xdr:rowOff>
    </xdr:from>
    <xdr:to>
      <xdr:col>10</xdr:col>
      <xdr:colOff>573422</xdr:colOff>
      <xdr:row>29</xdr:row>
      <xdr:rowOff>28575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7086600"/>
          <a:ext cx="6650372" cy="411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</xdr:row>
          <xdr:rowOff>0</xdr:rowOff>
        </xdr:from>
        <xdr:to>
          <xdr:col>10</xdr:col>
          <xdr:colOff>556260</xdr:colOff>
          <xdr:row>26</xdr:row>
          <xdr:rowOff>22860</xdr:rowOff>
        </xdr:to>
        <xdr:sp macro="" textlink="">
          <xdr:nvSpPr>
            <xdr:cNvPr id="35842" name="Object 2" hidden="1">
              <a:extLst>
                <a:ext uri="{63B3BB69-23CF-44E3-9099-C40C66FF867C}">
                  <a14:compatExt spid="_x0000_s35842"/>
                </a:ext>
                <a:ext uri="{FF2B5EF4-FFF2-40B4-BE49-F238E27FC236}">
                  <a16:creationId xmlns:a16="http://schemas.microsoft.com/office/drawing/2014/main" id="{00000000-0008-0000-0100-000002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0</xdr:row>
      <xdr:rowOff>0</xdr:rowOff>
    </xdr:from>
    <xdr:ext cx="2238375" cy="10668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tretch>
          <a:fillRect/>
        </a:stretch>
      </xdr:blipFill>
      <xdr:spPr>
        <a:xfrm>
          <a:off x="5059680" y="0"/>
          <a:ext cx="2238375" cy="1066800"/>
        </a:xfrm>
        <a:prstGeom prst="rect">
          <a:avLst/>
        </a:prstGeom>
      </xdr:spPr>
    </xdr:pic>
    <xdr:clientData/>
  </xdr:oneCellAnchor>
  <xdr:twoCellAnchor>
    <xdr:from>
      <xdr:col>0</xdr:col>
      <xdr:colOff>0</xdr:colOff>
      <xdr:row>5</xdr:row>
      <xdr:rowOff>0</xdr:rowOff>
    </xdr:from>
    <xdr:to>
      <xdr:col>14</xdr:col>
      <xdr:colOff>590550</xdr:colOff>
      <xdr:row>5</xdr:row>
      <xdr:rowOff>76200</xdr:rowOff>
    </xdr:to>
    <xdr:sp macro="" textlink="">
      <xdr:nvSpPr>
        <xdr:cNvPr id="3" name="Rectangle 3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0" y="1112520"/>
          <a:ext cx="7357110" cy="76200"/>
        </a:xfrm>
        <a:prstGeom prst="rect">
          <a:avLst/>
        </a:prstGeom>
        <a:noFill/>
        <a:ln w="3047" algn="in">
          <a:solidFill>
            <a:srgbClr val="000000"/>
          </a:solidFill>
        </a:ln>
      </xdr:spPr>
    </xdr:sp>
    <xdr:clientData/>
  </xdr:twoCellAnchor>
  <xdr:oneCellAnchor>
    <xdr:from>
      <xdr:col>1</xdr:col>
      <xdr:colOff>0</xdr:colOff>
      <xdr:row>203</xdr:row>
      <xdr:rowOff>0</xdr:rowOff>
    </xdr:from>
    <xdr:ext cx="295275" cy="161925"/>
    <xdr:pic>
      <xdr:nvPicPr>
        <xdr:cNvPr id="4" name="Picture 2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/>
      </xdr:nvPicPr>
      <xdr:blipFill rotWithShape="1">
        <a:blip xmlns:r="http://schemas.openxmlformats.org/officeDocument/2006/relationships" r:embed="rId2"/>
        <a:stretch>
          <a:fillRect/>
        </a:stretch>
      </xdr:blipFill>
      <xdr:spPr>
        <a:xfrm>
          <a:off x="1714500" y="48074580"/>
          <a:ext cx="295275" cy="161925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0</xdr:colOff>
      <xdr:row>0</xdr:row>
      <xdr:rowOff>0</xdr:rowOff>
    </xdr:from>
    <xdr:ext cx="1666875" cy="10668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tretch>
          <a:fillRect/>
        </a:stretch>
      </xdr:blipFill>
      <xdr:spPr>
        <a:xfrm>
          <a:off x="7078980" y="0"/>
          <a:ext cx="1666875" cy="1066800"/>
        </a:xfrm>
        <a:prstGeom prst="rect">
          <a:avLst/>
        </a:prstGeom>
      </xdr:spPr>
    </xdr:pic>
    <xdr:clientData/>
  </xdr:oneCellAnchor>
  <xdr:twoCellAnchor>
    <xdr:from>
      <xdr:col>0</xdr:col>
      <xdr:colOff>0</xdr:colOff>
      <xdr:row>7</xdr:row>
      <xdr:rowOff>0</xdr:rowOff>
    </xdr:from>
    <xdr:to>
      <xdr:col>16</xdr:col>
      <xdr:colOff>28575</xdr:colOff>
      <xdr:row>7</xdr:row>
      <xdr:rowOff>76200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0" y="1143000"/>
          <a:ext cx="8791575" cy="76200"/>
        </a:xfrm>
        <a:prstGeom prst="rect">
          <a:avLst/>
        </a:prstGeom>
        <a:noFill/>
        <a:ln w="3047" algn="in">
          <a:solidFill>
            <a:srgbClr val="000000"/>
          </a:solidFill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0.103\Users\patriciagomo\Desktop\Reprograma&#231;&#227;o%202020\Tabelas%20Diretrizes%20-%20Reprog%202020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fs-caubr\ASSESSORIA%20DE%20PLANEJAMENTO%20E%20GESTAO%20DA%20ESTRATEGIA\2023\Reprograma&#231;&#227;o%202023\Diretrizes\Documento\Tabelas%20Diretrizes%20-%20Reprog%202023-%20Final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fs-caubr\ASSESSORIA%20DE%20PLANEJAMENTO%20E%20GESTAO%20DA%20ESTRATEGIA\2023\Programa&#231;&#227;o%202023\Diretrizes\Documento\Tabelas%20Diretrizes%20Programa&#231;&#227;o%202023%20-Final_P3%20(CSC%2050,25,25)%20-%20Plen&#225;rias%20Ampliadas%20AL%20e%20RO.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patriciagomo\Desktop\MINUTA%20-%20Tabelas%20Diretrizes%20Programa&#231;&#227;o%202022%20_Final3_20.09.202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fs-caubr\ASSESSORIA%20DE%20PLANEJAMENTO%20E%20GESTAO%20DA%20ESTRATEGIA\2023\Reprograma&#231;&#227;o%202023\An&#225;lise%20das%20Presta&#231;&#245;es%20de%20Contas%20CAU%202022%20_COMPLET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0.103\fs-caubr\Users\patriciagomo\Desktop\Tabelas%20Diretrizes%20-%20Reprog%20202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fs-caubr\Users\Zaile%20Chagas\Desktop\Reprograma&#231;&#227;o%202023\CAU%20BA\Programa&#231;&#227;o%20do%20Plano%20de%20A&#231;&#227;o%20e%20Or&#231;amento%202023%20CAU-B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fs-caubr\ASSESSORIA%20DE%20PLANEJAMENTO%20E%20GESTAO%20DA%20ESTRATEGIA\2023\Reprograma&#231;&#227;o%202023\CAU%20UF\CAU%20BA\BA%20-%20DemonstrativoDespesasPagamento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fs-caubr\Users\ralfe.vinhas\Desktop\Financeiro\Programa&#231;&#227;o%202023\Plano%20de%20A&#231;&#227;o%20e%20Or&#231;amento%20CAUBA%20-%20site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fs-caubr\Users\patriciagomo\Desktop\Reprograma&#231;&#227;o%202020\Tabelas%20Diretrizes%20-%20Reprog%20202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fs-caubr\Users\Zaile%20Chagas\Desktop\Reprograma&#231;&#227;o%202023\CAU%20BA\BA%20-%20ComparativoBRetrato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fs-caubr\ASSESSORIA%20DE%20PLANEJAMENTO%20E%20GESTAO%20DA%20ESTRATEGIA\2023\Reprograma&#231;&#227;o%202023\CAU%20UF\CAU%20BA\BA%20-%20ComparativoBRetrato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fs-caubr\ASSESSORIA%20DE%20PLANEJAMENTO%20E%20GESTAO%20DA%20ESTRATEGIA\2023\Programa&#231;&#227;o%202023\Diretrizes\Documento\Anexo%20Links\Modelo%20para%20Elabora&#231;&#227;o%20da%20Programa&#231;&#227;o%20do%20Plano%20de%20A&#231;&#227;o%20e%20Or&#231;amento%20CAU%20-%20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DRO 1"/>
      <sheetName val="QUADRO 2"/>
      <sheetName val="QUADRO 3"/>
      <sheetName val="QUADRO 4"/>
      <sheetName val="Simulação de %"/>
      <sheetName val="Estudos - Receita"/>
      <sheetName val="ANEXO I"/>
      <sheetName val="ANEXO II"/>
      <sheetName val="ANEXO III e Anexo IX"/>
      <sheetName val="Estudos - Quant. PF"/>
      <sheetName val="NOVOS EGRESSOS"/>
      <sheetName val="Estudos-Percentuais"/>
      <sheetName val="ANEXO IV"/>
      <sheetName val="ANEXO V"/>
      <sheetName val="Estudos - Quant. PJ"/>
      <sheetName val="ANEXO VI"/>
      <sheetName val="ANEXO VII"/>
      <sheetName val="ANEXO VIII"/>
      <sheetName val="ANEXO X Aporte FA"/>
      <sheetName val="ANEXO X.I Repasse FA"/>
      <sheetName val="ANEXO XI CSC Total"/>
      <sheetName val="ANEXO XI.I CSC RIA"/>
      <sheetName val="ANEXO XI.II CSC Essencial"/>
      <sheetName val="ANEXO XI.III - RIA Enc. dContas"/>
      <sheetName val="ANEXO XII"/>
      <sheetName val="XIII. TAXAS BANCÁRIAS"/>
      <sheetName val="NOVO SISCAF"/>
      <sheetName val="Gráficos e Tabelas"/>
      <sheetName val="Resumo - Ajuste pelos UFs"/>
      <sheetName val="Resum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XFB1">
            <v>0.05</v>
          </cell>
        </row>
        <row r="2">
          <cell r="XFB2">
            <v>0.1</v>
          </cell>
        </row>
        <row r="3">
          <cell r="XFB3">
            <v>0.15</v>
          </cell>
        </row>
        <row r="4">
          <cell r="XFB4">
            <v>0.2</v>
          </cell>
        </row>
        <row r="5">
          <cell r="XFB5">
            <v>0.25</v>
          </cell>
        </row>
        <row r="6">
          <cell r="XFB6">
            <v>0.3</v>
          </cell>
        </row>
        <row r="7">
          <cell r="XFB7">
            <v>0.35</v>
          </cell>
        </row>
        <row r="8">
          <cell r="XFB8">
            <v>0.4</v>
          </cell>
        </row>
        <row r="9">
          <cell r="XFB9">
            <v>0.45</v>
          </cell>
        </row>
        <row r="10">
          <cell r="XFB10">
            <v>0.5</v>
          </cell>
        </row>
        <row r="11">
          <cell r="XFB11">
            <v>0.55000000000000004</v>
          </cell>
        </row>
        <row r="12">
          <cell r="XFB12">
            <v>0.6</v>
          </cell>
        </row>
        <row r="13">
          <cell r="XFB13">
            <v>0.65</v>
          </cell>
        </row>
        <row r="14">
          <cell r="XFB14">
            <v>0.7</v>
          </cell>
        </row>
        <row r="15">
          <cell r="XFB15">
            <v>0.75</v>
          </cell>
        </row>
        <row r="16">
          <cell r="XFB16">
            <v>0.8</v>
          </cell>
        </row>
        <row r="17">
          <cell r="XFB17">
            <v>0.85</v>
          </cell>
        </row>
        <row r="18">
          <cell r="XFB18">
            <v>0.9</v>
          </cell>
        </row>
        <row r="19">
          <cell r="XFB19">
            <v>0.95</v>
          </cell>
        </row>
        <row r="20">
          <cell r="XFB20">
            <v>1</v>
          </cell>
        </row>
      </sheetData>
      <sheetData sheetId="6">
        <row r="5">
          <cell r="C5">
            <v>586</v>
          </cell>
        </row>
      </sheetData>
      <sheetData sheetId="7" refreshError="1"/>
      <sheetData sheetId="8">
        <row r="6">
          <cell r="AX6">
            <v>67439.888000000006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2">
          <cell r="J2" t="str">
            <v>PJ até 2 anos com sócio AU formado até 2 anos</v>
          </cell>
          <cell r="L2" t="str">
            <v>Relatório 14</v>
          </cell>
          <cell r="M2">
            <v>0</v>
          </cell>
          <cell r="N2">
            <v>0</v>
          </cell>
          <cell r="O2">
            <v>0</v>
          </cell>
        </row>
        <row r="3"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L4" t="str">
            <v>Situação de Registro Ativo</v>
          </cell>
          <cell r="M4" t="str">
            <v>Inativos</v>
          </cell>
          <cell r="N4" t="str">
            <v>Pagantes</v>
          </cell>
          <cell r="O4" t="str">
            <v>0/1</v>
          </cell>
        </row>
        <row r="5">
          <cell r="N5">
            <v>32</v>
          </cell>
          <cell r="O5">
            <v>7</v>
          </cell>
        </row>
        <row r="6">
          <cell r="N6">
            <v>63</v>
          </cell>
          <cell r="O6">
            <v>12</v>
          </cell>
        </row>
        <row r="7">
          <cell r="N7">
            <v>37</v>
          </cell>
          <cell r="O7">
            <v>10</v>
          </cell>
        </row>
        <row r="8">
          <cell r="N8">
            <v>89</v>
          </cell>
          <cell r="O8">
            <v>12</v>
          </cell>
        </row>
        <row r="9">
          <cell r="N9">
            <v>56</v>
          </cell>
          <cell r="O9">
            <v>13</v>
          </cell>
        </row>
        <row r="10">
          <cell r="N10">
            <v>14</v>
          </cell>
          <cell r="O10">
            <v>0</v>
          </cell>
        </row>
        <row r="11">
          <cell r="N11">
            <v>41</v>
          </cell>
          <cell r="O11">
            <v>5</v>
          </cell>
        </row>
        <row r="12">
          <cell r="N12">
            <v>332</v>
          </cell>
          <cell r="O12">
            <v>59</v>
          </cell>
        </row>
        <row r="13">
          <cell r="N13">
            <v>41</v>
          </cell>
          <cell r="O13">
            <v>5</v>
          </cell>
        </row>
        <row r="14">
          <cell r="N14">
            <v>283</v>
          </cell>
          <cell r="O14">
            <v>28</v>
          </cell>
        </row>
        <row r="15">
          <cell r="N15">
            <v>139</v>
          </cell>
          <cell r="O15">
            <v>7</v>
          </cell>
        </row>
        <row r="16">
          <cell r="N16">
            <v>49</v>
          </cell>
          <cell r="O16">
            <v>5</v>
          </cell>
        </row>
        <row r="17">
          <cell r="N17">
            <v>87</v>
          </cell>
          <cell r="O17">
            <v>11</v>
          </cell>
        </row>
        <row r="18">
          <cell r="N18">
            <v>205</v>
          </cell>
          <cell r="O18">
            <v>19</v>
          </cell>
        </row>
        <row r="19">
          <cell r="N19">
            <v>70</v>
          </cell>
          <cell r="O19">
            <v>13</v>
          </cell>
        </row>
        <row r="20">
          <cell r="N20">
            <v>72</v>
          </cell>
          <cell r="O20">
            <v>6</v>
          </cell>
        </row>
        <row r="21">
          <cell r="N21">
            <v>57</v>
          </cell>
          <cell r="O21">
            <v>6</v>
          </cell>
        </row>
        <row r="22">
          <cell r="N22">
            <v>1003</v>
          </cell>
          <cell r="O22">
            <v>100</v>
          </cell>
        </row>
        <row r="23">
          <cell r="N23">
            <v>222</v>
          </cell>
          <cell r="O23">
            <v>27</v>
          </cell>
        </row>
        <row r="24">
          <cell r="N24">
            <v>212</v>
          </cell>
          <cell r="O24">
            <v>47</v>
          </cell>
        </row>
        <row r="25">
          <cell r="N25">
            <v>182</v>
          </cell>
          <cell r="O25">
            <v>26</v>
          </cell>
        </row>
        <row r="26">
          <cell r="N26">
            <v>172</v>
          </cell>
          <cell r="O26">
            <v>22</v>
          </cell>
        </row>
        <row r="27">
          <cell r="N27">
            <v>788</v>
          </cell>
          <cell r="O27">
            <v>122</v>
          </cell>
        </row>
        <row r="28">
          <cell r="N28">
            <v>225</v>
          </cell>
          <cell r="O28">
            <v>13</v>
          </cell>
        </row>
        <row r="29">
          <cell r="N29">
            <v>738</v>
          </cell>
          <cell r="O29">
            <v>69</v>
          </cell>
        </row>
        <row r="30">
          <cell r="N30">
            <v>1078</v>
          </cell>
          <cell r="O30">
            <v>82</v>
          </cell>
        </row>
        <row r="31">
          <cell r="N31">
            <v>3458</v>
          </cell>
          <cell r="O31">
            <v>154</v>
          </cell>
        </row>
        <row r="32">
          <cell r="N32">
            <v>5499</v>
          </cell>
          <cell r="O32">
            <v>318</v>
          </cell>
        </row>
        <row r="33">
          <cell r="N33">
            <v>1058</v>
          </cell>
          <cell r="O33">
            <v>125</v>
          </cell>
        </row>
        <row r="34">
          <cell r="N34">
            <v>949</v>
          </cell>
          <cell r="O34">
            <v>87</v>
          </cell>
        </row>
        <row r="35">
          <cell r="N35">
            <v>649</v>
          </cell>
          <cell r="O35">
            <v>70</v>
          </cell>
        </row>
        <row r="36">
          <cell r="N36">
            <v>2656</v>
          </cell>
          <cell r="O36">
            <v>282</v>
          </cell>
        </row>
        <row r="37">
          <cell r="N37">
            <v>10278</v>
          </cell>
          <cell r="O37">
            <v>881</v>
          </cell>
        </row>
      </sheetData>
      <sheetData sheetId="15" refreshError="1"/>
      <sheetData sheetId="16" refreshError="1"/>
      <sheetData sheetId="17" refreshError="1"/>
      <sheetData sheetId="18">
        <row r="3">
          <cell r="A3" t="str">
            <v>SP</v>
          </cell>
        </row>
      </sheetData>
      <sheetData sheetId="19">
        <row r="30">
          <cell r="A30" t="str">
            <v>RR</v>
          </cell>
        </row>
      </sheetData>
      <sheetData sheetId="20">
        <row r="3">
          <cell r="D3">
            <v>2726.8547648527197</v>
          </cell>
        </row>
      </sheetData>
      <sheetData sheetId="21" refreshError="1"/>
      <sheetData sheetId="22" refreshError="1"/>
      <sheetData sheetId="23">
        <row r="2">
          <cell r="A2" t="str">
            <v>AC</v>
          </cell>
        </row>
      </sheetData>
      <sheetData sheetId="24">
        <row r="10">
          <cell r="A10" t="str">
            <v>RR</v>
          </cell>
        </row>
      </sheetData>
      <sheetData sheetId="25">
        <row r="3">
          <cell r="A3" t="str">
            <v>AC</v>
          </cell>
        </row>
      </sheetData>
      <sheetData sheetId="26" refreshError="1"/>
      <sheetData sheetId="27" refreshError="1"/>
      <sheetData sheetId="28" refreshError="1"/>
      <sheetData sheetId="2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ras de Descontos - PF e  PJ"/>
      <sheetName val="senha"/>
      <sheetName val="Simulação de %"/>
      <sheetName val="Inadimplência"/>
      <sheetName val="QUADRO 1"/>
      <sheetName val="QUADRO 2"/>
      <sheetName val="QUADRO 3"/>
      <sheetName val="QUADRO 4"/>
      <sheetName val="ANEXO I"/>
      <sheetName val="ANEXO II"/>
      <sheetName val="ANEXO III Anexo IX (100 e 80%)"/>
      <sheetName val="ANEXO IV"/>
      <sheetName val="ANEXO V"/>
      <sheetName val="ANEXO VI"/>
      <sheetName val="ANEXO VII"/>
      <sheetName val="ANEXO VIII"/>
      <sheetName val="Anexo IX-Repasse Fundo de Apoio"/>
      <sheetName val="Anexo IX.I-Aporte do FA"/>
      <sheetName val="ANEXO X.CSC Total"/>
      <sheetName val="Arrecadação_Aportes "/>
      <sheetName val="PF e PJ - Exerc. Ant"/>
      <sheetName val="BD"/>
      <sheetName val="CSC - Tele atendimento"/>
      <sheetName val="CSC - RIA"/>
      <sheetName val="CSC -Demais Serv Essenciais"/>
      <sheetName val="CSC Total"/>
      <sheetName val="Receita e Inad. - Análise"/>
      <sheetName val="PF - Análise"/>
      <sheetName val="PJ - Análise"/>
      <sheetName val="PJ - Projeção"/>
      <sheetName val="RRT - Análise"/>
      <sheetName val="Médias Taxas"/>
      <sheetName val="PF - Projeção"/>
      <sheetName val="Resumo Prog.x Reprog 2022"/>
      <sheetName val="Médias por UF"/>
      <sheetName val="ESTUDO FA Programação 20220"/>
      <sheetName val="Anexo X.I.CSC-Teleatendimento"/>
      <sheetName val="ANEXO X.II.Encontro de Contas"/>
      <sheetName val="CSC_Teleatendimento"/>
      <sheetName val="Anexo X.III.CSC-Essenc e RIA"/>
      <sheetName val="Anexo XII.SISCAF"/>
      <sheetName val="XI. Tarifas Bancárias"/>
      <sheetName val="Acerto de Contas (2022)"/>
      <sheetName val="Acerto de Contas 20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5">
          <cell r="A5" t="str">
            <v>AC</v>
          </cell>
          <cell r="B5">
            <v>737</v>
          </cell>
          <cell r="C5">
            <v>768</v>
          </cell>
          <cell r="D5">
            <v>4.2062415196743501</v>
          </cell>
          <cell r="E5">
            <v>726</v>
          </cell>
          <cell r="F5">
            <v>757</v>
          </cell>
          <cell r="G5">
            <v>4.2699724517906361</v>
          </cell>
          <cell r="H5">
            <v>468</v>
          </cell>
          <cell r="I5">
            <v>488</v>
          </cell>
          <cell r="J5">
            <v>4.2735042735042867</v>
          </cell>
          <cell r="K5">
            <v>35.537190082644628</v>
          </cell>
          <cell r="L5">
            <v>35.535006605019817</v>
          </cell>
          <cell r="M5">
            <v>-2.183477624811303E-3</v>
          </cell>
          <cell r="N5">
            <v>178</v>
          </cell>
          <cell r="O5">
            <v>189</v>
          </cell>
          <cell r="P5">
            <v>6.1797752808988804</v>
          </cell>
          <cell r="Q5">
            <v>86</v>
          </cell>
          <cell r="R5">
            <v>76</v>
          </cell>
          <cell r="S5">
            <v>-11.627906976744185</v>
          </cell>
          <cell r="T5">
            <v>51.685393258426963</v>
          </cell>
          <cell r="U5">
            <v>59.788359788359791</v>
          </cell>
          <cell r="V5">
            <v>8.1029665299328286</v>
          </cell>
          <cell r="W5">
            <v>2836</v>
          </cell>
          <cell r="X5">
            <v>2990</v>
          </cell>
        </row>
        <row r="6">
          <cell r="A6" t="str">
            <v>AM</v>
          </cell>
          <cell r="B6">
            <v>2436</v>
          </cell>
          <cell r="C6">
            <v>2448</v>
          </cell>
          <cell r="D6">
            <v>0.49261083743843415</v>
          </cell>
          <cell r="E6">
            <v>2412</v>
          </cell>
          <cell r="F6">
            <v>2424</v>
          </cell>
          <cell r="G6">
            <v>0.49751243781095411</v>
          </cell>
          <cell r="H6">
            <v>1626</v>
          </cell>
          <cell r="I6">
            <v>1565</v>
          </cell>
          <cell r="J6">
            <v>-3.751537515375162</v>
          </cell>
          <cell r="K6">
            <v>32.587064676616919</v>
          </cell>
          <cell r="L6">
            <v>35.437293729372925</v>
          </cell>
          <cell r="M6">
            <v>2.8502290527560064</v>
          </cell>
          <cell r="N6">
            <v>318</v>
          </cell>
          <cell r="O6">
            <v>347</v>
          </cell>
          <cell r="P6">
            <v>9.1194968553459148</v>
          </cell>
          <cell r="Q6">
            <v>156</v>
          </cell>
          <cell r="R6">
            <v>121</v>
          </cell>
          <cell r="S6">
            <v>-22.435897435897431</v>
          </cell>
          <cell r="T6">
            <v>50.943396226415096</v>
          </cell>
          <cell r="U6">
            <v>65.129682997118152</v>
          </cell>
          <cell r="V6">
            <v>14.186286770703056</v>
          </cell>
          <cell r="W6">
            <v>7902</v>
          </cell>
          <cell r="X6">
            <v>7988</v>
          </cell>
        </row>
        <row r="7">
          <cell r="A7" t="str">
            <v>AP</v>
          </cell>
          <cell r="B7">
            <v>915</v>
          </cell>
          <cell r="C7">
            <v>913</v>
          </cell>
          <cell r="D7">
            <v>-0.21857923497267961</v>
          </cell>
          <cell r="E7">
            <v>908</v>
          </cell>
          <cell r="F7">
            <v>906</v>
          </cell>
          <cell r="G7">
            <v>-0.22026431718062156</v>
          </cell>
          <cell r="H7">
            <v>545</v>
          </cell>
          <cell r="I7">
            <v>544</v>
          </cell>
          <cell r="J7">
            <v>-0.18348623853211166</v>
          </cell>
          <cell r="K7">
            <v>39.977973568281946</v>
          </cell>
          <cell r="L7">
            <v>39.95584988962473</v>
          </cell>
          <cell r="M7">
            <v>-2.2123678657216317E-2</v>
          </cell>
          <cell r="N7">
            <v>362</v>
          </cell>
          <cell r="O7">
            <v>383</v>
          </cell>
          <cell r="P7">
            <v>5.8011049723756969</v>
          </cell>
          <cell r="Q7">
            <v>114</v>
          </cell>
          <cell r="R7">
            <v>121</v>
          </cell>
          <cell r="S7">
            <v>6.1403508771929864</v>
          </cell>
          <cell r="T7">
            <v>68.508287292817684</v>
          </cell>
          <cell r="U7">
            <v>68.407310704960835</v>
          </cell>
          <cell r="V7">
            <v>-0.10097658785684871</v>
          </cell>
          <cell r="W7">
            <v>3654</v>
          </cell>
          <cell r="X7">
            <v>4022</v>
          </cell>
        </row>
        <row r="8">
          <cell r="A8" t="str">
            <v>PA</v>
          </cell>
          <cell r="B8">
            <v>3398</v>
          </cell>
          <cell r="C8">
            <v>3474</v>
          </cell>
          <cell r="D8">
            <v>2.2366097704532137</v>
          </cell>
          <cell r="E8">
            <v>3215</v>
          </cell>
          <cell r="F8">
            <v>3291</v>
          </cell>
          <cell r="G8">
            <v>2.3639191290824328</v>
          </cell>
          <cell r="H8">
            <v>1893</v>
          </cell>
          <cell r="I8">
            <v>1931</v>
          </cell>
          <cell r="J8">
            <v>2.007395668251462</v>
          </cell>
          <cell r="K8">
            <v>41.119751166407468</v>
          </cell>
          <cell r="L8">
            <v>41.324825281069586</v>
          </cell>
          <cell r="M8">
            <v>0.20507411466211778</v>
          </cell>
          <cell r="N8">
            <v>530</v>
          </cell>
          <cell r="O8">
            <v>548</v>
          </cell>
          <cell r="P8">
            <v>3.3962264150943327</v>
          </cell>
          <cell r="Q8">
            <v>192</v>
          </cell>
          <cell r="R8">
            <v>206</v>
          </cell>
          <cell r="S8">
            <v>7.2916666666666714</v>
          </cell>
          <cell r="T8">
            <v>63.773584905660378</v>
          </cell>
          <cell r="U8">
            <v>62.408759124087595</v>
          </cell>
          <cell r="V8">
            <v>-1.3648257815727831</v>
          </cell>
          <cell r="W8">
            <v>10918</v>
          </cell>
          <cell r="X8">
            <v>11491</v>
          </cell>
        </row>
        <row r="9">
          <cell r="A9" t="str">
            <v>RO</v>
          </cell>
          <cell r="B9">
            <v>1535</v>
          </cell>
          <cell r="C9">
            <v>1582</v>
          </cell>
          <cell r="D9">
            <v>3.061889250814346</v>
          </cell>
          <cell r="E9">
            <v>1512</v>
          </cell>
          <cell r="F9">
            <v>1559</v>
          </cell>
          <cell r="G9">
            <v>3.1084656084656075</v>
          </cell>
          <cell r="H9">
            <v>1072</v>
          </cell>
          <cell r="I9">
            <v>1115</v>
          </cell>
          <cell r="J9">
            <v>4.0111940298507562</v>
          </cell>
          <cell r="K9">
            <v>29.100529100529101</v>
          </cell>
          <cell r="L9">
            <v>28.479794740218097</v>
          </cell>
          <cell r="M9">
            <v>-0.62073436031100471</v>
          </cell>
          <cell r="N9">
            <v>250</v>
          </cell>
          <cell r="O9">
            <v>279</v>
          </cell>
          <cell r="P9">
            <v>11.600000000000009</v>
          </cell>
          <cell r="Q9">
            <v>85</v>
          </cell>
          <cell r="R9">
            <v>111</v>
          </cell>
          <cell r="S9">
            <v>30.588235294117652</v>
          </cell>
          <cell r="T9">
            <v>66</v>
          </cell>
          <cell r="U9">
            <v>60.215053763440864</v>
          </cell>
          <cell r="V9">
            <v>-5.7849462365591364</v>
          </cell>
          <cell r="W9">
            <v>9392</v>
          </cell>
          <cell r="X9">
            <v>9572</v>
          </cell>
        </row>
        <row r="10">
          <cell r="A10" t="str">
            <v>RR</v>
          </cell>
          <cell r="B10">
            <v>266</v>
          </cell>
          <cell r="C10">
            <v>276</v>
          </cell>
          <cell r="D10">
            <v>3.7593984962406068</v>
          </cell>
          <cell r="E10">
            <v>254</v>
          </cell>
          <cell r="F10">
            <v>264</v>
          </cell>
          <cell r="G10">
            <v>3.9370078740157339</v>
          </cell>
          <cell r="H10">
            <v>164</v>
          </cell>
          <cell r="I10">
            <v>170</v>
          </cell>
          <cell r="J10">
            <v>3.6585365853658516</v>
          </cell>
          <cell r="K10">
            <v>35.433070866141733</v>
          </cell>
          <cell r="L10">
            <v>35.606060606060609</v>
          </cell>
          <cell r="M10">
            <v>0.17298973991887578</v>
          </cell>
          <cell r="N10">
            <v>69</v>
          </cell>
          <cell r="O10">
            <v>75</v>
          </cell>
          <cell r="P10">
            <v>8.6956521739130324</v>
          </cell>
          <cell r="Q10">
            <v>27</v>
          </cell>
          <cell r="R10">
            <v>23</v>
          </cell>
          <cell r="S10">
            <v>-14.81481481481481</v>
          </cell>
          <cell r="T10">
            <v>60.869565217391305</v>
          </cell>
          <cell r="U10">
            <v>69.333333333333343</v>
          </cell>
          <cell r="V10">
            <v>8.4637681159420382</v>
          </cell>
          <cell r="W10">
            <v>1393</v>
          </cell>
          <cell r="X10">
            <v>1670</v>
          </cell>
        </row>
        <row r="11">
          <cell r="A11" t="str">
            <v>TO</v>
          </cell>
          <cell r="B11">
            <v>968</v>
          </cell>
          <cell r="C11">
            <v>1013</v>
          </cell>
          <cell r="D11">
            <v>4.6487603305785115</v>
          </cell>
          <cell r="E11">
            <v>947</v>
          </cell>
          <cell r="F11">
            <v>992</v>
          </cell>
          <cell r="G11">
            <v>4.7518479408659005</v>
          </cell>
          <cell r="H11">
            <v>685</v>
          </cell>
          <cell r="I11">
            <v>698</v>
          </cell>
          <cell r="J11">
            <v>1.8978102189781083</v>
          </cell>
          <cell r="K11">
            <v>27.666314677930302</v>
          </cell>
          <cell r="L11">
            <v>29.637096774193552</v>
          </cell>
          <cell r="M11">
            <v>1.9707820962632496</v>
          </cell>
          <cell r="N11">
            <v>249</v>
          </cell>
          <cell r="O11">
            <v>264</v>
          </cell>
          <cell r="P11">
            <v>6.0240963855421796</v>
          </cell>
          <cell r="Q11">
            <v>103</v>
          </cell>
          <cell r="R11">
            <v>90</v>
          </cell>
          <cell r="S11">
            <v>-12.621359223300971</v>
          </cell>
          <cell r="T11">
            <v>58.634538152610446</v>
          </cell>
          <cell r="U11">
            <v>65.909090909090907</v>
          </cell>
          <cell r="V11">
            <v>7.2745527564804604</v>
          </cell>
          <cell r="W11">
            <v>5859</v>
          </cell>
          <cell r="X11">
            <v>5441</v>
          </cell>
        </row>
        <row r="12">
          <cell r="A12" t="str">
            <v>Soma (N)</v>
          </cell>
          <cell r="B12">
            <v>10255</v>
          </cell>
          <cell r="C12">
            <v>10474</v>
          </cell>
          <cell r="D12">
            <v>2.1355436372501231</v>
          </cell>
          <cell r="E12">
            <v>9974</v>
          </cell>
          <cell r="F12">
            <v>10193</v>
          </cell>
          <cell r="G12">
            <v>2.1957088429917775</v>
          </cell>
          <cell r="H12">
            <v>6453</v>
          </cell>
          <cell r="I12">
            <v>6511</v>
          </cell>
          <cell r="J12">
            <v>0.89880675654734432</v>
          </cell>
          <cell r="K12">
            <v>35.30178464006417</v>
          </cell>
          <cell r="L12">
            <v>36.12282939272049</v>
          </cell>
          <cell r="M12">
            <v>0.82104475265632004</v>
          </cell>
          <cell r="N12">
            <v>1956</v>
          </cell>
          <cell r="O12">
            <v>2085</v>
          </cell>
          <cell r="P12">
            <v>6.5950920245398663</v>
          </cell>
          <cell r="Q12">
            <v>763</v>
          </cell>
          <cell r="R12">
            <v>748</v>
          </cell>
          <cell r="S12">
            <v>-1.9659239842726066</v>
          </cell>
          <cell r="T12">
            <v>60.991820040899796</v>
          </cell>
          <cell r="U12">
            <v>64.124700239808149</v>
          </cell>
          <cell r="V12">
            <v>3.132880198908353</v>
          </cell>
          <cell r="W12">
            <v>41954</v>
          </cell>
          <cell r="X12">
            <v>43174</v>
          </cell>
        </row>
        <row r="13">
          <cell r="A13" t="str">
            <v>AL</v>
          </cell>
          <cell r="B13">
            <v>2290</v>
          </cell>
          <cell r="C13">
            <v>2302</v>
          </cell>
          <cell r="D13">
            <v>0.52401746724891041</v>
          </cell>
          <cell r="E13">
            <v>2186</v>
          </cell>
          <cell r="F13">
            <v>2198</v>
          </cell>
          <cell r="G13">
            <v>0.54894784995424573</v>
          </cell>
          <cell r="H13">
            <v>1504</v>
          </cell>
          <cell r="I13">
            <v>1517</v>
          </cell>
          <cell r="J13">
            <v>0.86436170212766683</v>
          </cell>
          <cell r="K13">
            <v>31.198536139066789</v>
          </cell>
          <cell r="L13">
            <v>30.982711555959966</v>
          </cell>
          <cell r="M13">
            <v>-0.21582458310682284</v>
          </cell>
          <cell r="N13">
            <v>184</v>
          </cell>
          <cell r="O13">
            <v>198</v>
          </cell>
          <cell r="P13">
            <v>7.6086956521739069</v>
          </cell>
          <cell r="Q13">
            <v>90</v>
          </cell>
          <cell r="R13">
            <v>83</v>
          </cell>
          <cell r="S13">
            <v>-7.7777777777777715</v>
          </cell>
          <cell r="T13">
            <v>51.086956521739133</v>
          </cell>
          <cell r="U13">
            <v>58.080808080808083</v>
          </cell>
          <cell r="V13">
            <v>6.9938515590689505</v>
          </cell>
          <cell r="W13">
            <v>7839</v>
          </cell>
          <cell r="X13">
            <v>9126</v>
          </cell>
        </row>
        <row r="14">
          <cell r="A14" t="str">
            <v>BA</v>
          </cell>
          <cell r="B14">
            <v>7751</v>
          </cell>
          <cell r="C14">
            <v>7920</v>
          </cell>
          <cell r="D14">
            <v>2.1803638240227201</v>
          </cell>
          <cell r="E14">
            <v>6882</v>
          </cell>
          <cell r="F14">
            <v>7051</v>
          </cell>
          <cell r="G14">
            <v>2.4556814879395574</v>
          </cell>
          <cell r="H14">
            <v>4958</v>
          </cell>
          <cell r="I14">
            <v>5064</v>
          </cell>
          <cell r="J14">
            <v>2.1379588543767767</v>
          </cell>
          <cell r="K14">
            <v>27.956989247311824</v>
          </cell>
          <cell r="L14">
            <v>28.180399943270459</v>
          </cell>
          <cell r="M14">
            <v>0.22341069595863416</v>
          </cell>
          <cell r="N14">
            <v>1177</v>
          </cell>
          <cell r="O14">
            <v>1136</v>
          </cell>
          <cell r="P14">
            <v>-3.4834324553950751</v>
          </cell>
          <cell r="Q14">
            <v>586</v>
          </cell>
          <cell r="R14">
            <v>508</v>
          </cell>
          <cell r="S14">
            <v>-13.310580204778148</v>
          </cell>
          <cell r="T14">
            <v>50.2124044180119</v>
          </cell>
          <cell r="U14">
            <v>55.281690140845072</v>
          </cell>
          <cell r="V14">
            <v>5.0692857228331718</v>
          </cell>
          <cell r="W14">
            <v>19028</v>
          </cell>
          <cell r="X14">
            <v>24786</v>
          </cell>
        </row>
        <row r="15">
          <cell r="A15" t="str">
            <v>CE</v>
          </cell>
          <cell r="B15">
            <v>5077</v>
          </cell>
          <cell r="C15">
            <v>5207</v>
          </cell>
          <cell r="D15">
            <v>2.5605672641323594</v>
          </cell>
          <cell r="E15">
            <v>4859</v>
          </cell>
          <cell r="F15">
            <v>4989</v>
          </cell>
          <cell r="G15">
            <v>2.6754476229676953</v>
          </cell>
          <cell r="H15">
            <v>3502</v>
          </cell>
          <cell r="I15">
            <v>3617</v>
          </cell>
          <cell r="J15">
            <v>3.2838378069674405</v>
          </cell>
          <cell r="K15">
            <v>27.92755711051656</v>
          </cell>
          <cell r="L15">
            <v>27.500501102425332</v>
          </cell>
          <cell r="M15">
            <v>-0.42705600809122757</v>
          </cell>
          <cell r="N15">
            <v>515</v>
          </cell>
          <cell r="O15">
            <v>534</v>
          </cell>
          <cell r="P15">
            <v>3.6893203883495005</v>
          </cell>
          <cell r="Q15">
            <v>296</v>
          </cell>
          <cell r="R15">
            <v>284</v>
          </cell>
          <cell r="S15">
            <v>-4.0540540540540633</v>
          </cell>
          <cell r="T15">
            <v>42.524271844660198</v>
          </cell>
          <cell r="U15">
            <v>46.816479400749067</v>
          </cell>
          <cell r="V15">
            <v>4.2922075560888686</v>
          </cell>
          <cell r="W15">
            <v>12562</v>
          </cell>
          <cell r="X15">
            <v>16853</v>
          </cell>
        </row>
        <row r="16">
          <cell r="A16" t="str">
            <v>MA</v>
          </cell>
          <cell r="B16">
            <v>2368</v>
          </cell>
          <cell r="C16">
            <v>2443</v>
          </cell>
          <cell r="D16">
            <v>3.1672297297297405</v>
          </cell>
          <cell r="E16">
            <v>2334</v>
          </cell>
          <cell r="F16">
            <v>2409</v>
          </cell>
          <cell r="G16">
            <v>3.2133676092545045</v>
          </cell>
          <cell r="H16">
            <v>1519</v>
          </cell>
          <cell r="I16">
            <v>1530</v>
          </cell>
          <cell r="J16">
            <v>0.72416063199473513</v>
          </cell>
          <cell r="K16">
            <v>34.918594687232215</v>
          </cell>
          <cell r="L16">
            <v>36.488169364881692</v>
          </cell>
          <cell r="M16">
            <v>1.5695746776494772</v>
          </cell>
          <cell r="N16">
            <v>351</v>
          </cell>
          <cell r="O16">
            <v>362</v>
          </cell>
          <cell r="P16">
            <v>3.1339031339031322</v>
          </cell>
          <cell r="Q16">
            <v>139</v>
          </cell>
          <cell r="R16">
            <v>121</v>
          </cell>
          <cell r="S16">
            <v>-12.949640287769782</v>
          </cell>
          <cell r="T16">
            <v>60.3988603988604</v>
          </cell>
          <cell r="U16">
            <v>66.574585635359114</v>
          </cell>
          <cell r="V16">
            <v>6.1757252364987139</v>
          </cell>
          <cell r="W16">
            <v>5931</v>
          </cell>
          <cell r="X16">
            <v>7661</v>
          </cell>
        </row>
        <row r="17">
          <cell r="A17" t="str">
            <v>PB</v>
          </cell>
          <cell r="B17">
            <v>3372</v>
          </cell>
          <cell r="C17">
            <v>3430</v>
          </cell>
          <cell r="D17">
            <v>1.7200474495848113</v>
          </cell>
          <cell r="E17">
            <v>3284</v>
          </cell>
          <cell r="F17">
            <v>3342</v>
          </cell>
          <cell r="G17">
            <v>1.7661388550548054</v>
          </cell>
          <cell r="H17">
            <v>2320</v>
          </cell>
          <cell r="I17">
            <v>2407</v>
          </cell>
          <cell r="J17">
            <v>3.7500000000000142</v>
          </cell>
          <cell r="K17">
            <v>29.354445797807543</v>
          </cell>
          <cell r="L17">
            <v>27.97725912627169</v>
          </cell>
          <cell r="M17">
            <v>-1.3771866715358527</v>
          </cell>
          <cell r="N17">
            <v>580</v>
          </cell>
          <cell r="O17">
            <v>508</v>
          </cell>
          <cell r="P17">
            <v>-12.413793103448285</v>
          </cell>
          <cell r="Q17">
            <v>217</v>
          </cell>
          <cell r="R17">
            <v>150</v>
          </cell>
          <cell r="S17">
            <v>-30.875576036866363</v>
          </cell>
          <cell r="T17">
            <v>62.586206896551722</v>
          </cell>
          <cell r="U17">
            <v>70.472440944881896</v>
          </cell>
          <cell r="V17">
            <v>7.8862340483301736</v>
          </cell>
          <cell r="W17">
            <v>10192</v>
          </cell>
          <cell r="X17">
            <v>12029</v>
          </cell>
        </row>
        <row r="18">
          <cell r="A18" t="str">
            <v>PE</v>
          </cell>
          <cell r="B18">
            <v>5806</v>
          </cell>
          <cell r="C18">
            <v>6003</v>
          </cell>
          <cell r="D18">
            <v>3.3930416810196391</v>
          </cell>
          <cell r="E18">
            <v>5305</v>
          </cell>
          <cell r="F18">
            <v>5502</v>
          </cell>
          <cell r="G18">
            <v>3.7134778510838942</v>
          </cell>
          <cell r="H18">
            <v>4220</v>
          </cell>
          <cell r="I18">
            <v>4181</v>
          </cell>
          <cell r="J18">
            <v>-0.92417061611374152</v>
          </cell>
          <cell r="K18">
            <v>20.452403393025449</v>
          </cell>
          <cell r="L18">
            <v>24.009451108687756</v>
          </cell>
          <cell r="M18">
            <v>3.557047715662307</v>
          </cell>
          <cell r="N18">
            <v>645</v>
          </cell>
          <cell r="O18">
            <v>651</v>
          </cell>
          <cell r="P18">
            <v>0.93023255813953654</v>
          </cell>
          <cell r="Q18">
            <v>417</v>
          </cell>
          <cell r="R18">
            <v>367</v>
          </cell>
          <cell r="S18">
            <v>-11.990407673860915</v>
          </cell>
          <cell r="T18">
            <v>35.348837209302332</v>
          </cell>
          <cell r="U18">
            <v>43.625192012288785</v>
          </cell>
          <cell r="V18">
            <v>8.2763548029864538</v>
          </cell>
          <cell r="W18">
            <v>21937</v>
          </cell>
          <cell r="X18">
            <v>20581</v>
          </cell>
        </row>
        <row r="19">
          <cell r="A19" t="str">
            <v>PI</v>
          </cell>
          <cell r="B19">
            <v>1698</v>
          </cell>
          <cell r="C19">
            <v>1704</v>
          </cell>
          <cell r="D19">
            <v>0.35335689045936647</v>
          </cell>
          <cell r="E19">
            <v>1650</v>
          </cell>
          <cell r="F19">
            <v>1656</v>
          </cell>
          <cell r="G19">
            <v>0.36363636363635976</v>
          </cell>
          <cell r="H19">
            <v>1247</v>
          </cell>
          <cell r="I19">
            <v>1271</v>
          </cell>
          <cell r="J19">
            <v>1.9246190858059435</v>
          </cell>
          <cell r="K19">
            <v>24.424242424242422</v>
          </cell>
          <cell r="L19">
            <v>23.248792270531411</v>
          </cell>
          <cell r="M19">
            <v>-1.1754501537110116</v>
          </cell>
          <cell r="N19">
            <v>344</v>
          </cell>
          <cell r="O19">
            <v>363</v>
          </cell>
          <cell r="P19">
            <v>5.5232558139534973</v>
          </cell>
          <cell r="Q19">
            <v>198</v>
          </cell>
          <cell r="R19">
            <v>180</v>
          </cell>
          <cell r="S19">
            <v>-9.0909090909090935</v>
          </cell>
          <cell r="T19">
            <v>42.441860465116278</v>
          </cell>
          <cell r="U19">
            <v>50.413223140495866</v>
          </cell>
          <cell r="V19">
            <v>7.9713626753795879</v>
          </cell>
          <cell r="W19">
            <v>5998</v>
          </cell>
          <cell r="X19">
            <v>5949</v>
          </cell>
        </row>
        <row r="20">
          <cell r="A20" t="str">
            <v>RN</v>
          </cell>
          <cell r="B20">
            <v>2950</v>
          </cell>
          <cell r="C20">
            <v>2938</v>
          </cell>
          <cell r="D20">
            <v>-0.40677966101695517</v>
          </cell>
          <cell r="E20">
            <v>2839</v>
          </cell>
          <cell r="F20">
            <v>2827</v>
          </cell>
          <cell r="G20">
            <v>-0.42268404367735002</v>
          </cell>
          <cell r="H20">
            <v>1816</v>
          </cell>
          <cell r="I20">
            <v>1857</v>
          </cell>
          <cell r="J20">
            <v>2.2577092511013177</v>
          </cell>
          <cell r="K20">
            <v>36.033814723494181</v>
          </cell>
          <cell r="L20">
            <v>34.311991510435092</v>
          </cell>
          <cell r="M20">
            <v>-1.7218232130590891</v>
          </cell>
          <cell r="N20">
            <v>334</v>
          </cell>
          <cell r="O20">
            <v>351</v>
          </cell>
          <cell r="P20">
            <v>5.0898203592814326</v>
          </cell>
          <cell r="Q20">
            <v>122</v>
          </cell>
          <cell r="R20">
            <v>112</v>
          </cell>
          <cell r="S20">
            <v>-8.1967213114754145</v>
          </cell>
          <cell r="T20">
            <v>63.473053892215567</v>
          </cell>
          <cell r="U20">
            <v>68.0911680911681</v>
          </cell>
          <cell r="V20">
            <v>4.6181141989525329</v>
          </cell>
          <cell r="W20">
            <v>10790</v>
          </cell>
          <cell r="X20">
            <v>10809</v>
          </cell>
        </row>
        <row r="21">
          <cell r="A21" t="str">
            <v>SE</v>
          </cell>
          <cell r="B21">
            <v>1762</v>
          </cell>
          <cell r="C21">
            <v>1783</v>
          </cell>
          <cell r="D21">
            <v>1.1918274687854762</v>
          </cell>
          <cell r="E21">
            <v>1723</v>
          </cell>
          <cell r="F21">
            <v>1744</v>
          </cell>
          <cell r="G21">
            <v>1.2188044109112042</v>
          </cell>
          <cell r="H21">
            <v>1237</v>
          </cell>
          <cell r="I21">
            <v>1271</v>
          </cell>
          <cell r="J21">
            <v>2.7485852869846497</v>
          </cell>
          <cell r="K21">
            <v>28.206616366802081</v>
          </cell>
          <cell r="L21">
            <v>27.12155963302753</v>
          </cell>
          <cell r="M21">
            <v>-1.0850567337745503</v>
          </cell>
          <cell r="N21">
            <v>208</v>
          </cell>
          <cell r="O21">
            <v>205</v>
          </cell>
          <cell r="P21">
            <v>-1.4423076923076934</v>
          </cell>
          <cell r="Q21">
            <v>126</v>
          </cell>
          <cell r="R21">
            <v>112</v>
          </cell>
          <cell r="S21">
            <v>-11.111111111111114</v>
          </cell>
          <cell r="T21">
            <v>39.423076923076927</v>
          </cell>
          <cell r="U21">
            <v>45.365853658536579</v>
          </cell>
          <cell r="V21">
            <v>5.9427767354596526</v>
          </cell>
          <cell r="W21">
            <v>7470</v>
          </cell>
          <cell r="X21">
            <v>9201</v>
          </cell>
        </row>
        <row r="22">
          <cell r="A22" t="str">
            <v>Soma(NE)</v>
          </cell>
          <cell r="B22">
            <v>33074</v>
          </cell>
          <cell r="C22">
            <v>33730</v>
          </cell>
          <cell r="D22">
            <v>1.9834310939106103</v>
          </cell>
          <cell r="E22">
            <v>31062</v>
          </cell>
          <cell r="F22">
            <v>31718</v>
          </cell>
          <cell r="G22">
            <v>2.111905221814439</v>
          </cell>
          <cell r="H22">
            <v>22323</v>
          </cell>
          <cell r="I22">
            <v>22715</v>
          </cell>
          <cell r="J22">
            <v>1.7560363750392014</v>
          </cell>
          <cell r="K22">
            <v>28.134054471701759</v>
          </cell>
          <cell r="L22">
            <v>28.384513525442969</v>
          </cell>
          <cell r="M22">
            <v>0.25045905374120991</v>
          </cell>
          <cell r="N22">
            <v>4338</v>
          </cell>
          <cell r="O22">
            <v>4308</v>
          </cell>
          <cell r="P22">
            <v>-0.69156293222683018</v>
          </cell>
          <cell r="Q22">
            <v>2191</v>
          </cell>
          <cell r="R22">
            <v>1917</v>
          </cell>
          <cell r="S22">
            <v>-12.505705157462344</v>
          </cell>
          <cell r="T22">
            <v>49.492853849700325</v>
          </cell>
          <cell r="U22">
            <v>55.50139275766017</v>
          </cell>
          <cell r="V22">
            <v>6.0085389079598457</v>
          </cell>
          <cell r="W22">
            <v>101747</v>
          </cell>
          <cell r="X22">
            <v>116995</v>
          </cell>
        </row>
        <row r="23">
          <cell r="A23" t="str">
            <v>DF</v>
          </cell>
          <cell r="B23">
            <v>7037</v>
          </cell>
          <cell r="C23">
            <v>6924</v>
          </cell>
          <cell r="D23">
            <v>-1.605797925252233</v>
          </cell>
          <cell r="E23">
            <v>6465</v>
          </cell>
          <cell r="F23">
            <v>6352</v>
          </cell>
          <cell r="G23">
            <v>-1.7478731631863837</v>
          </cell>
          <cell r="H23">
            <v>4778</v>
          </cell>
          <cell r="I23">
            <v>4733</v>
          </cell>
          <cell r="J23">
            <v>-0.94181665969024664</v>
          </cell>
          <cell r="K23">
            <v>26.094354215003861</v>
          </cell>
          <cell r="L23">
            <v>25.488035264483628</v>
          </cell>
          <cell r="M23">
            <v>-0.6063189505202331</v>
          </cell>
          <cell r="N23">
            <v>954</v>
          </cell>
          <cell r="O23">
            <v>898</v>
          </cell>
          <cell r="P23">
            <v>-5.8700209643605916</v>
          </cell>
          <cell r="Q23">
            <v>474</v>
          </cell>
          <cell r="R23">
            <v>459</v>
          </cell>
          <cell r="S23">
            <v>-3.1645569620253156</v>
          </cell>
          <cell r="T23">
            <v>50.314465408805034</v>
          </cell>
          <cell r="U23">
            <v>48.886414253897549</v>
          </cell>
          <cell r="V23">
            <v>-1.4280511549074859</v>
          </cell>
          <cell r="W23">
            <v>18974</v>
          </cell>
          <cell r="X23">
            <v>18001</v>
          </cell>
        </row>
        <row r="24">
          <cell r="A24" t="str">
            <v>GO</v>
          </cell>
          <cell r="B24">
            <v>5636</v>
          </cell>
          <cell r="C24">
            <v>5648</v>
          </cell>
          <cell r="D24">
            <v>0.21291696238468205</v>
          </cell>
          <cell r="E24">
            <v>5385</v>
          </cell>
          <cell r="F24">
            <v>5397</v>
          </cell>
          <cell r="G24">
            <v>0.22284122562675179</v>
          </cell>
          <cell r="H24">
            <v>3905</v>
          </cell>
          <cell r="I24">
            <v>3897</v>
          </cell>
          <cell r="J24">
            <v>-0.20486555697823405</v>
          </cell>
          <cell r="K24">
            <v>27.483751160631385</v>
          </cell>
          <cell r="L24">
            <v>27.793218454697055</v>
          </cell>
          <cell r="M24">
            <v>0.30946729406566931</v>
          </cell>
          <cell r="N24">
            <v>829</v>
          </cell>
          <cell r="O24">
            <v>846</v>
          </cell>
          <cell r="P24">
            <v>2.050663449939691</v>
          </cell>
          <cell r="Q24">
            <v>238</v>
          </cell>
          <cell r="R24">
            <v>388</v>
          </cell>
          <cell r="S24">
            <v>63.025210084033603</v>
          </cell>
          <cell r="T24">
            <v>71.290711700844383</v>
          </cell>
          <cell r="U24">
            <v>54.137115839243499</v>
          </cell>
          <cell r="V24">
            <v>-17.153595861600884</v>
          </cell>
          <cell r="W24">
            <v>31590</v>
          </cell>
          <cell r="X24">
            <v>32474</v>
          </cell>
        </row>
        <row r="25">
          <cell r="A25" t="str">
            <v>MS</v>
          </cell>
          <cell r="B25">
            <v>3757</v>
          </cell>
          <cell r="C25">
            <v>3808</v>
          </cell>
          <cell r="D25">
            <v>1.3574660633484115</v>
          </cell>
          <cell r="E25">
            <v>3643</v>
          </cell>
          <cell r="F25">
            <v>3694</v>
          </cell>
          <cell r="G25">
            <v>1.3999451001921415</v>
          </cell>
          <cell r="H25">
            <v>2321</v>
          </cell>
          <cell r="I25">
            <v>2369</v>
          </cell>
          <cell r="J25">
            <v>2.0680741059887993</v>
          </cell>
          <cell r="K25">
            <v>36.288772989294536</v>
          </cell>
          <cell r="L25">
            <v>35.868976719003783</v>
          </cell>
          <cell r="M25">
            <v>-0.41979627029075317</v>
          </cell>
          <cell r="N25">
            <v>714</v>
          </cell>
          <cell r="O25">
            <v>748</v>
          </cell>
          <cell r="P25">
            <v>4.7619047619047734</v>
          </cell>
          <cell r="Q25">
            <v>345</v>
          </cell>
          <cell r="R25">
            <v>299</v>
          </cell>
          <cell r="S25">
            <v>-13.333333333333329</v>
          </cell>
          <cell r="T25">
            <v>51.680672268907564</v>
          </cell>
          <cell r="U25">
            <v>60.026737967914443</v>
          </cell>
          <cell r="V25">
            <v>8.3460656990068784</v>
          </cell>
          <cell r="W25">
            <v>23219</v>
          </cell>
          <cell r="X25">
            <v>21302</v>
          </cell>
        </row>
        <row r="26">
          <cell r="A26" t="str">
            <v>MT</v>
          </cell>
          <cell r="B26">
            <v>3746</v>
          </cell>
          <cell r="C26">
            <v>3795</v>
          </cell>
          <cell r="D26">
            <v>1.3080619327282363</v>
          </cell>
          <cell r="E26">
            <v>3673</v>
          </cell>
          <cell r="F26">
            <v>3722</v>
          </cell>
          <cell r="G26">
            <v>1.3340593520283051</v>
          </cell>
          <cell r="H26">
            <v>2852</v>
          </cell>
          <cell r="I26">
            <v>2862</v>
          </cell>
          <cell r="J26">
            <v>0.35063113604488194</v>
          </cell>
          <cell r="K26">
            <v>22.352300571739718</v>
          </cell>
          <cell r="L26">
            <v>23.105857066093492</v>
          </cell>
          <cell r="M26">
            <v>0.75355649435377359</v>
          </cell>
          <cell r="N26">
            <v>780</v>
          </cell>
          <cell r="O26">
            <v>813</v>
          </cell>
          <cell r="P26">
            <v>4.2307692307692406</v>
          </cell>
          <cell r="Q26">
            <v>382</v>
          </cell>
          <cell r="R26">
            <v>409</v>
          </cell>
          <cell r="S26">
            <v>7.068062827225134</v>
          </cell>
          <cell r="T26">
            <v>51.025641025641029</v>
          </cell>
          <cell r="U26">
            <v>49.692496924969255</v>
          </cell>
          <cell r="V26">
            <v>-1.3331441006717739</v>
          </cell>
          <cell r="W26">
            <v>35159</v>
          </cell>
          <cell r="X26">
            <v>33142</v>
          </cell>
        </row>
        <row r="27">
          <cell r="A27" t="str">
            <v>Soma(CO)</v>
          </cell>
          <cell r="B27">
            <v>20176</v>
          </cell>
          <cell r="C27">
            <v>20175</v>
          </cell>
          <cell r="D27">
            <v>-4.9563838223605217E-3</v>
          </cell>
          <cell r="E27">
            <v>19166</v>
          </cell>
          <cell r="F27">
            <v>19165</v>
          </cell>
          <cell r="G27">
            <v>-5.2175727851420106E-3</v>
          </cell>
          <cell r="H27">
            <v>13856</v>
          </cell>
          <cell r="I27">
            <v>13861</v>
          </cell>
          <cell r="J27">
            <v>3.6085450346405423E-2</v>
          </cell>
          <cell r="K27">
            <v>27.70531148909528</v>
          </cell>
          <cell r="L27">
            <v>27.675450039133835</v>
          </cell>
          <cell r="M27">
            <v>-2.9861449961444464E-2</v>
          </cell>
          <cell r="N27">
            <v>3277</v>
          </cell>
          <cell r="O27">
            <v>3305</v>
          </cell>
          <cell r="P27">
            <v>0.85444003661885404</v>
          </cell>
          <cell r="Q27">
            <v>1439</v>
          </cell>
          <cell r="R27">
            <v>1555</v>
          </cell>
          <cell r="S27">
            <v>8.0611535788742259</v>
          </cell>
          <cell r="T27">
            <v>56.087885260909367</v>
          </cell>
          <cell r="U27">
            <v>52.950075642965203</v>
          </cell>
          <cell r="V27">
            <v>-3.1378096179441641</v>
          </cell>
          <cell r="W27">
            <v>108942</v>
          </cell>
          <cell r="X27">
            <v>104919</v>
          </cell>
        </row>
        <row r="28">
          <cell r="A28" t="str">
            <v>ES</v>
          </cell>
          <cell r="B28">
            <v>4275</v>
          </cell>
          <cell r="C28">
            <v>4367</v>
          </cell>
          <cell r="D28">
            <v>2.1520467836257211</v>
          </cell>
          <cell r="E28">
            <v>4171</v>
          </cell>
          <cell r="F28">
            <v>4263</v>
          </cell>
          <cell r="G28">
            <v>2.205706065691686</v>
          </cell>
          <cell r="H28">
            <v>3864</v>
          </cell>
          <cell r="I28">
            <v>3943</v>
          </cell>
          <cell r="J28">
            <v>2.0445134575569455</v>
          </cell>
          <cell r="K28">
            <v>7.3603452409494139</v>
          </cell>
          <cell r="L28">
            <v>7.5064508562045518</v>
          </cell>
          <cell r="M28">
            <v>0.14610561525513788</v>
          </cell>
          <cell r="N28">
            <v>501</v>
          </cell>
          <cell r="O28">
            <v>501</v>
          </cell>
          <cell r="P28">
            <v>0</v>
          </cell>
          <cell r="Q28">
            <v>382</v>
          </cell>
          <cell r="R28">
            <v>371</v>
          </cell>
          <cell r="S28">
            <v>-2.8795811518324541</v>
          </cell>
          <cell r="T28">
            <v>23.752495009980038</v>
          </cell>
          <cell r="U28">
            <v>25.948103792415168</v>
          </cell>
          <cell r="V28">
            <v>2.19560878243513</v>
          </cell>
          <cell r="W28">
            <v>17731</v>
          </cell>
          <cell r="X28">
            <v>17572</v>
          </cell>
        </row>
        <row r="29">
          <cell r="A29" t="str">
            <v>MG</v>
          </cell>
          <cell r="B29">
            <v>18556</v>
          </cell>
          <cell r="C29">
            <v>18651</v>
          </cell>
          <cell r="D29">
            <v>0.5119637852985619</v>
          </cell>
          <cell r="E29">
            <v>17755</v>
          </cell>
          <cell r="F29">
            <v>17850</v>
          </cell>
          <cell r="G29">
            <v>0.53506054632497069</v>
          </cell>
          <cell r="H29">
            <v>13003</v>
          </cell>
          <cell r="I29">
            <v>13406</v>
          </cell>
          <cell r="J29">
            <v>3.0992847804352834</v>
          </cell>
          <cell r="K29">
            <v>26.76429174880316</v>
          </cell>
          <cell r="L29">
            <v>24.896358543417364</v>
          </cell>
          <cell r="M29">
            <v>-1.8679332053857962</v>
          </cell>
          <cell r="N29">
            <v>2197</v>
          </cell>
          <cell r="O29">
            <v>2256</v>
          </cell>
          <cell r="P29">
            <v>2.6854802002731049</v>
          </cell>
          <cell r="Q29">
            <v>1454</v>
          </cell>
          <cell r="R29">
            <v>1326</v>
          </cell>
          <cell r="S29">
            <v>-8.8033012379642344</v>
          </cell>
          <cell r="T29">
            <v>33.818843878015485</v>
          </cell>
          <cell r="U29">
            <v>41.223404255319153</v>
          </cell>
          <cell r="V29">
            <v>7.4045603773036675</v>
          </cell>
          <cell r="W29">
            <v>60223</v>
          </cell>
          <cell r="X29">
            <v>61834</v>
          </cell>
        </row>
        <row r="30">
          <cell r="A30" t="str">
            <v>RJ</v>
          </cell>
          <cell r="B30">
            <v>21884</v>
          </cell>
          <cell r="C30">
            <v>22078</v>
          </cell>
          <cell r="D30">
            <v>0.88649241454943706</v>
          </cell>
          <cell r="E30">
            <v>18063</v>
          </cell>
          <cell r="F30">
            <v>18257</v>
          </cell>
          <cell r="G30">
            <v>1.0740187122847829</v>
          </cell>
          <cell r="H30">
            <v>12855</v>
          </cell>
          <cell r="I30">
            <v>13643</v>
          </cell>
          <cell r="J30">
            <v>6.1299105406456675</v>
          </cell>
          <cell r="K30">
            <v>28.832419863810003</v>
          </cell>
          <cell r="L30">
            <v>25.272498219860879</v>
          </cell>
          <cell r="M30">
            <v>-3.5599216439491244</v>
          </cell>
          <cell r="N30">
            <v>3330</v>
          </cell>
          <cell r="O30">
            <v>3085</v>
          </cell>
          <cell r="P30">
            <v>-7.3573573573573583</v>
          </cell>
          <cell r="Q30">
            <v>1966</v>
          </cell>
          <cell r="R30">
            <v>1585</v>
          </cell>
          <cell r="S30">
            <v>-19.379450661241094</v>
          </cell>
          <cell r="T30">
            <v>40.960960960960961</v>
          </cell>
          <cell r="U30">
            <v>48.622366288492699</v>
          </cell>
          <cell r="V30">
            <v>7.6614053275317389</v>
          </cell>
          <cell r="W30">
            <v>65499</v>
          </cell>
          <cell r="X30">
            <v>66334</v>
          </cell>
        </row>
        <row r="31">
          <cell r="A31" t="str">
            <v>SP</v>
          </cell>
          <cell r="B31">
            <v>68641</v>
          </cell>
          <cell r="C31">
            <v>72832</v>
          </cell>
          <cell r="D31">
            <v>6.1056802785507216</v>
          </cell>
          <cell r="E31">
            <v>63813</v>
          </cell>
          <cell r="F31">
            <v>68004</v>
          </cell>
          <cell r="G31">
            <v>6.567627285976215</v>
          </cell>
          <cell r="H31">
            <v>45740</v>
          </cell>
          <cell r="I31">
            <v>50429</v>
          </cell>
          <cell r="J31">
            <v>10.251421075644942</v>
          </cell>
          <cell r="K31">
            <v>28.321815304091643</v>
          </cell>
          <cell r="L31">
            <v>25.844067996000234</v>
          </cell>
          <cell r="M31">
            <v>-2.4777473080914092</v>
          </cell>
          <cell r="N31">
            <v>8521</v>
          </cell>
          <cell r="O31">
            <v>8663</v>
          </cell>
          <cell r="P31">
            <v>1.6664710714704825</v>
          </cell>
          <cell r="Q31">
            <v>4723</v>
          </cell>
          <cell r="R31">
            <v>5386</v>
          </cell>
          <cell r="S31">
            <v>14.037687910226552</v>
          </cell>
          <cell r="T31">
            <v>44.572233305950007</v>
          </cell>
          <cell r="U31">
            <v>37.827542421793837</v>
          </cell>
          <cell r="V31">
            <v>-6.7446908841561708</v>
          </cell>
          <cell r="W31">
            <v>358836</v>
          </cell>
          <cell r="X31">
            <v>336233</v>
          </cell>
        </row>
        <row r="32">
          <cell r="A32" t="str">
            <v>Soma(SE)</v>
          </cell>
          <cell r="B32">
            <v>113356</v>
          </cell>
          <cell r="C32">
            <v>117928</v>
          </cell>
          <cell r="D32">
            <v>4.0333109848618562</v>
          </cell>
          <cell r="E32">
            <v>103802</v>
          </cell>
          <cell r="F32">
            <v>108374</v>
          </cell>
          <cell r="G32">
            <v>4.4045394115720455</v>
          </cell>
          <cell r="H32">
            <v>75462</v>
          </cell>
          <cell r="I32">
            <v>81421</v>
          </cell>
          <cell r="J32">
            <v>7.8966897246296242</v>
          </cell>
          <cell r="K32">
            <v>27.301978767268452</v>
          </cell>
          <cell r="L32">
            <v>24.870356358536185</v>
          </cell>
          <cell r="M32">
            <v>-2.4316224087322666</v>
          </cell>
          <cell r="N32">
            <v>14549</v>
          </cell>
          <cell r="O32">
            <v>14505</v>
          </cell>
          <cell r="P32">
            <v>-0.30242628359337687</v>
          </cell>
          <cell r="Q32">
            <v>8525</v>
          </cell>
          <cell r="R32">
            <v>8668</v>
          </cell>
          <cell r="S32">
            <v>1.6774193548387188</v>
          </cell>
          <cell r="T32">
            <v>41.404907553783765</v>
          </cell>
          <cell r="U32">
            <v>40.241296104791445</v>
          </cell>
          <cell r="V32">
            <v>-1.1636114489923202</v>
          </cell>
          <cell r="W32">
            <v>502289</v>
          </cell>
          <cell r="X32">
            <v>481973</v>
          </cell>
        </row>
        <row r="33">
          <cell r="A33" t="str">
            <v>PR</v>
          </cell>
          <cell r="B33">
            <v>15197</v>
          </cell>
          <cell r="C33">
            <v>15275</v>
          </cell>
          <cell r="D33">
            <v>0.5132591958939372</v>
          </cell>
          <cell r="E33">
            <v>14716</v>
          </cell>
          <cell r="F33">
            <v>14794</v>
          </cell>
          <cell r="G33">
            <v>0.5300353356890497</v>
          </cell>
          <cell r="H33">
            <v>10132</v>
          </cell>
          <cell r="I33">
            <v>11043</v>
          </cell>
          <cell r="J33">
            <v>8.9913146466640228</v>
          </cell>
          <cell r="K33">
            <v>31.14976895895623</v>
          </cell>
          <cell r="L33">
            <v>25.35487359740435</v>
          </cell>
          <cell r="M33">
            <v>-5.7948953615518803</v>
          </cell>
          <cell r="N33">
            <v>2887</v>
          </cell>
          <cell r="O33">
            <v>3033</v>
          </cell>
          <cell r="P33">
            <v>5.0571527537235852</v>
          </cell>
          <cell r="Q33">
            <v>1604</v>
          </cell>
          <cell r="R33">
            <v>1894</v>
          </cell>
          <cell r="S33">
            <v>18.079800498753102</v>
          </cell>
          <cell r="T33">
            <v>44.44059577416003</v>
          </cell>
          <cell r="U33">
            <v>37.553577316188594</v>
          </cell>
          <cell r="V33">
            <v>-6.8870184579714362</v>
          </cell>
          <cell r="W33">
            <v>74378</v>
          </cell>
          <cell r="X33">
            <v>74155</v>
          </cell>
        </row>
        <row r="34">
          <cell r="A34" t="str">
            <v>RS</v>
          </cell>
          <cell r="B34">
            <v>18850</v>
          </cell>
          <cell r="C34">
            <v>18923</v>
          </cell>
          <cell r="D34">
            <v>0.38726790450928661</v>
          </cell>
          <cell r="E34">
            <v>17536</v>
          </cell>
          <cell r="F34">
            <v>17609</v>
          </cell>
          <cell r="G34">
            <v>0.41628649635036652</v>
          </cell>
          <cell r="H34">
            <v>13525</v>
          </cell>
          <cell r="I34">
            <v>14536</v>
          </cell>
          <cell r="J34">
            <v>7.4750462107208762</v>
          </cell>
          <cell r="K34">
            <v>22.872947080291965</v>
          </cell>
          <cell r="L34">
            <v>17.451303310806978</v>
          </cell>
          <cell r="M34">
            <v>-5.4216437694849873</v>
          </cell>
          <cell r="N34">
            <v>3526</v>
          </cell>
          <cell r="O34">
            <v>3694</v>
          </cell>
          <cell r="P34">
            <v>4.7646057855927495</v>
          </cell>
          <cell r="Q34">
            <v>2093</v>
          </cell>
          <cell r="R34">
            <v>2517</v>
          </cell>
          <cell r="S34">
            <v>20.258002866698519</v>
          </cell>
          <cell r="T34">
            <v>40.640952921157115</v>
          </cell>
          <cell r="U34">
            <v>31.862479696805636</v>
          </cell>
          <cell r="V34">
            <v>-8.7784732243514796</v>
          </cell>
          <cell r="W34">
            <v>101956</v>
          </cell>
          <cell r="X34">
            <v>103122</v>
          </cell>
        </row>
        <row r="35">
          <cell r="A35" t="str">
            <v>SC</v>
          </cell>
          <cell r="B35">
            <v>12316</v>
          </cell>
          <cell r="C35">
            <v>12604</v>
          </cell>
          <cell r="D35">
            <v>2.3384215654433262</v>
          </cell>
          <cell r="E35">
            <v>11953</v>
          </cell>
          <cell r="F35">
            <v>12241</v>
          </cell>
          <cell r="G35">
            <v>2.4094369614322773</v>
          </cell>
          <cell r="H35">
            <v>9257</v>
          </cell>
          <cell r="I35">
            <v>9572</v>
          </cell>
          <cell r="J35">
            <v>3.4028302905908987</v>
          </cell>
          <cell r="K35">
            <v>22.555007111185475</v>
          </cell>
          <cell r="L35">
            <v>21.803774201454132</v>
          </cell>
          <cell r="M35">
            <v>-0.7512329097313426</v>
          </cell>
          <cell r="N35">
            <v>2230</v>
          </cell>
          <cell r="O35">
            <v>2311</v>
          </cell>
          <cell r="P35">
            <v>3.6322869955156989</v>
          </cell>
          <cell r="Q35">
            <v>1264</v>
          </cell>
          <cell r="R35">
            <v>1312</v>
          </cell>
          <cell r="S35">
            <v>3.7974683544303787</v>
          </cell>
          <cell r="T35">
            <v>43.318385650224215</v>
          </cell>
          <cell r="U35">
            <v>43.22803980960623</v>
          </cell>
          <cell r="V35">
            <v>-9.0345840617985118E-2</v>
          </cell>
          <cell r="W35">
            <v>62725</v>
          </cell>
          <cell r="X35">
            <v>63805</v>
          </cell>
        </row>
        <row r="36">
          <cell r="A36" t="str">
            <v>Soma(S)</v>
          </cell>
          <cell r="B36">
            <v>46363</v>
          </cell>
          <cell r="C36">
            <v>46802</v>
          </cell>
          <cell r="D36">
            <v>0.94687574143175368</v>
          </cell>
          <cell r="E36">
            <v>44205</v>
          </cell>
          <cell r="F36">
            <v>44644</v>
          </cell>
          <cell r="G36">
            <v>0.99310032801717796</v>
          </cell>
          <cell r="H36">
            <v>32914</v>
          </cell>
          <cell r="I36">
            <v>35151</v>
          </cell>
          <cell r="J36">
            <v>6.7964999696177983</v>
          </cell>
          <cell r="K36">
            <v>25.542359461599361</v>
          </cell>
          <cell r="L36">
            <v>21.263775647343437</v>
          </cell>
          <cell r="M36">
            <v>-4.2785838142559243</v>
          </cell>
          <cell r="N36">
            <v>8643</v>
          </cell>
          <cell r="O36">
            <v>9038</v>
          </cell>
          <cell r="P36">
            <v>4.5701723938447429</v>
          </cell>
          <cell r="Q36">
            <v>4961</v>
          </cell>
          <cell r="R36">
            <v>5723</v>
          </cell>
          <cell r="S36">
            <v>15.359806490626895</v>
          </cell>
          <cell r="T36">
            <v>42.600948744648846</v>
          </cell>
          <cell r="U36">
            <v>36.678468687762781</v>
          </cell>
          <cell r="V36">
            <v>-5.9224800568860658</v>
          </cell>
          <cell r="W36">
            <v>239059</v>
          </cell>
          <cell r="X36">
            <v>241082</v>
          </cell>
        </row>
        <row r="37">
          <cell r="A37" t="str">
            <v xml:space="preserve">TOTAL </v>
          </cell>
          <cell r="B37">
            <v>223224</v>
          </cell>
          <cell r="C37">
            <v>229109</v>
          </cell>
          <cell r="D37">
            <v>2.6363652653836454</v>
          </cell>
          <cell r="E37">
            <v>208209</v>
          </cell>
          <cell r="F37">
            <v>214094</v>
          </cell>
          <cell r="G37">
            <v>2.8264868473504947</v>
          </cell>
          <cell r="H37">
            <v>151008</v>
          </cell>
          <cell r="I37">
            <v>159659</v>
          </cell>
          <cell r="J37">
            <v>5.7288355583810215</v>
          </cell>
          <cell r="K37">
            <v>27.472875812284769</v>
          </cell>
          <cell r="L37">
            <v>25.425747568824903</v>
          </cell>
          <cell r="M37">
            <v>-2.0471282434598663</v>
          </cell>
          <cell r="N37">
            <v>32763</v>
          </cell>
          <cell r="O37">
            <v>33241</v>
          </cell>
          <cell r="P37">
            <v>1.4589628544394486</v>
          </cell>
          <cell r="Q37">
            <v>17879</v>
          </cell>
          <cell r="R37">
            <v>18611</v>
          </cell>
          <cell r="S37">
            <v>4.094188713015285</v>
          </cell>
          <cell r="T37">
            <v>45.429295241583489</v>
          </cell>
          <cell r="U37">
            <v>44.011912999007251</v>
          </cell>
          <cell r="V37">
            <v>-1.4173822425762381</v>
          </cell>
          <cell r="W37">
            <v>993991</v>
          </cell>
          <cell r="X37">
            <v>988143</v>
          </cell>
        </row>
      </sheetData>
      <sheetData sheetId="9" refreshError="1"/>
      <sheetData sheetId="10">
        <row r="6">
          <cell r="AV6" t="str">
            <v>AC</v>
          </cell>
          <cell r="AW6">
            <v>243809.91</v>
          </cell>
          <cell r="AX6">
            <v>83295.62</v>
          </cell>
          <cell r="AY6">
            <v>24316.34</v>
          </cell>
          <cell r="AZ6">
            <v>98794.78</v>
          </cell>
          <cell r="BA6">
            <v>28129.34</v>
          </cell>
          <cell r="BB6">
            <v>182090.4</v>
          </cell>
          <cell r="BC6">
            <v>52445.68</v>
          </cell>
          <cell r="BD6">
            <v>234536.08</v>
          </cell>
          <cell r="BE6">
            <v>-9273.8300000000163</v>
          </cell>
          <cell r="BF6">
            <v>-3.8037133109150552</v>
          </cell>
          <cell r="BG6">
            <v>35906.959999999999</v>
          </cell>
          <cell r="BH6">
            <v>4045.74</v>
          </cell>
          <cell r="BI6">
            <v>8610.5400000000009</v>
          </cell>
          <cell r="BJ6">
            <v>16194.33</v>
          </cell>
          <cell r="BK6">
            <v>7006.18</v>
          </cell>
          <cell r="BL6">
            <v>20240.07</v>
          </cell>
          <cell r="BM6">
            <v>15616.720000000001</v>
          </cell>
          <cell r="BN6">
            <v>35856.79</v>
          </cell>
          <cell r="BO6">
            <v>-50.169999999998254</v>
          </cell>
          <cell r="BP6">
            <v>-0.13972221541449975</v>
          </cell>
          <cell r="BQ6">
            <v>270509.02</v>
          </cell>
          <cell r="BR6">
            <v>77430.8</v>
          </cell>
          <cell r="BS6">
            <v>198079.76</v>
          </cell>
          <cell r="BT6">
            <v>275510.56</v>
          </cell>
          <cell r="BU6">
            <v>5001.539999999979</v>
          </cell>
          <cell r="BV6">
            <v>1.8489364975703872</v>
          </cell>
          <cell r="BW6">
            <v>27929</v>
          </cell>
          <cell r="BX6">
            <v>8877.98</v>
          </cell>
          <cell r="BY6">
            <v>26610.86</v>
          </cell>
          <cell r="BZ6">
            <v>35488.839999999997</v>
          </cell>
          <cell r="CA6">
            <v>7559.8399999999965</v>
          </cell>
          <cell r="CB6">
            <v>27.068065451681033</v>
          </cell>
          <cell r="CC6">
            <v>578154.89</v>
          </cell>
          <cell r="CD6">
            <v>173650.14</v>
          </cell>
          <cell r="CE6">
            <v>32926.880000000005</v>
          </cell>
          <cell r="CF6">
            <v>339679.73</v>
          </cell>
          <cell r="CG6">
            <v>35135.520000000004</v>
          </cell>
          <cell r="CH6">
            <v>513329.87</v>
          </cell>
          <cell r="CI6">
            <v>-2.5818065964507042</v>
          </cell>
          <cell r="CJ6">
            <v>68062.400000000009</v>
          </cell>
          <cell r="CK6">
            <v>32.880900871738959</v>
          </cell>
          <cell r="CL6">
            <v>581392.27</v>
          </cell>
        </row>
        <row r="7">
          <cell r="AV7" t="str">
            <v>AM</v>
          </cell>
          <cell r="AW7">
            <v>853009.42</v>
          </cell>
          <cell r="AX7">
            <v>233916.42</v>
          </cell>
          <cell r="AY7">
            <v>78570.78</v>
          </cell>
          <cell r="AZ7">
            <v>373625.07</v>
          </cell>
          <cell r="BA7">
            <v>123927.69</v>
          </cell>
          <cell r="BB7">
            <v>607541.49</v>
          </cell>
          <cell r="BC7">
            <v>202498.47</v>
          </cell>
          <cell r="BD7">
            <v>810039.96</v>
          </cell>
          <cell r="BE7">
            <v>-42969.460000000079</v>
          </cell>
          <cell r="BF7">
            <v>-5.0373957183263078</v>
          </cell>
          <cell r="BG7">
            <v>71595.759999999995</v>
          </cell>
          <cell r="BH7">
            <v>5396.72</v>
          </cell>
          <cell r="BI7">
            <v>9974.34</v>
          </cell>
          <cell r="BJ7">
            <v>21711.759999999998</v>
          </cell>
          <cell r="BK7">
            <v>20529.48</v>
          </cell>
          <cell r="BL7">
            <v>27108.48</v>
          </cell>
          <cell r="BM7">
            <v>30503.82</v>
          </cell>
          <cell r="BN7">
            <v>57612.3</v>
          </cell>
          <cell r="BO7">
            <v>-13983.459999999992</v>
          </cell>
          <cell r="BP7">
            <v>-19.53112865901555</v>
          </cell>
          <cell r="BQ7">
            <v>753724.37</v>
          </cell>
          <cell r="BR7">
            <v>237876.84</v>
          </cell>
          <cell r="BS7">
            <v>498169.43</v>
          </cell>
          <cell r="BT7">
            <v>736046.27</v>
          </cell>
          <cell r="BU7">
            <v>-17678.099999999977</v>
          </cell>
          <cell r="BV7">
            <v>-2.3454329863315917</v>
          </cell>
          <cell r="BW7">
            <v>75292.3</v>
          </cell>
          <cell r="BX7">
            <v>26339.33</v>
          </cell>
          <cell r="BY7">
            <v>60160.06</v>
          </cell>
          <cell r="BZ7">
            <v>86499.39</v>
          </cell>
          <cell r="CA7">
            <v>11207.089999999997</v>
          </cell>
          <cell r="CB7">
            <v>14.884775734039199</v>
          </cell>
          <cell r="CC7">
            <v>1753621.85</v>
          </cell>
          <cell r="CD7">
            <v>503529.31</v>
          </cell>
          <cell r="CE7">
            <v>88545.12</v>
          </cell>
          <cell r="CF7">
            <v>953666.32000000007</v>
          </cell>
          <cell r="CG7">
            <v>144457.17000000001</v>
          </cell>
          <cell r="CH7">
            <v>1457195.6300000001</v>
          </cell>
          <cell r="CI7">
            <v>-7.8388175768270543</v>
          </cell>
          <cell r="CJ7">
            <v>233002.29</v>
          </cell>
          <cell r="CK7">
            <v>35.086562677317488</v>
          </cell>
          <cell r="CL7">
            <v>1690197.9200000002</v>
          </cell>
        </row>
        <row r="8">
          <cell r="AV8" t="str">
            <v>AP</v>
          </cell>
          <cell r="AW8">
            <v>300263.03000000003</v>
          </cell>
          <cell r="AX8">
            <v>80919.5</v>
          </cell>
          <cell r="AY8">
            <v>50333.22</v>
          </cell>
          <cell r="AZ8">
            <v>119327.75</v>
          </cell>
          <cell r="BA8">
            <v>41788.5</v>
          </cell>
          <cell r="BB8">
            <v>200247.25</v>
          </cell>
          <cell r="BC8">
            <v>92121.72</v>
          </cell>
          <cell r="BD8">
            <v>292368.96999999997</v>
          </cell>
          <cell r="BE8">
            <v>-7894.0600000000559</v>
          </cell>
          <cell r="BF8">
            <v>-2.6290482714438923</v>
          </cell>
          <cell r="BG8">
            <v>63122.86</v>
          </cell>
          <cell r="BH8">
            <v>9417.34</v>
          </cell>
          <cell r="BI8">
            <v>14609.51</v>
          </cell>
          <cell r="BJ8">
            <v>23477.26</v>
          </cell>
          <cell r="BK8">
            <v>24062.82</v>
          </cell>
          <cell r="BL8">
            <v>32894.6</v>
          </cell>
          <cell r="BM8">
            <v>38672.33</v>
          </cell>
          <cell r="BN8">
            <v>71566.929999999993</v>
          </cell>
          <cell r="BO8">
            <v>8444.0699999999924</v>
          </cell>
          <cell r="BP8">
            <v>13.37719805471424</v>
          </cell>
          <cell r="BQ8">
            <v>348533.14</v>
          </cell>
          <cell r="BR8">
            <v>129516.81</v>
          </cell>
          <cell r="BS8">
            <v>241086.36</v>
          </cell>
          <cell r="BT8">
            <v>370603.17</v>
          </cell>
          <cell r="BU8">
            <v>22070.02999999997</v>
          </cell>
          <cell r="BV8">
            <v>6.3322615462047507</v>
          </cell>
          <cell r="BW8">
            <v>38201.42</v>
          </cell>
          <cell r="BX8">
            <v>21404.36</v>
          </cell>
          <cell r="BY8">
            <v>32630.77</v>
          </cell>
          <cell r="BZ8">
            <v>54035.130000000005</v>
          </cell>
          <cell r="CA8">
            <v>15833.710000000006</v>
          </cell>
          <cell r="CB8">
            <v>41.447961882045242</v>
          </cell>
          <cell r="CC8">
            <v>750120.45000000007</v>
          </cell>
          <cell r="CD8">
            <v>241258.01</v>
          </cell>
          <cell r="CE8">
            <v>64942.73</v>
          </cell>
          <cell r="CF8">
            <v>416522.14</v>
          </cell>
          <cell r="CG8">
            <v>65851.320000000007</v>
          </cell>
          <cell r="CH8">
            <v>657780.15</v>
          </cell>
          <cell r="CI8">
            <v>1.1978949340909253</v>
          </cell>
          <cell r="CJ8">
            <v>130794.05000000002</v>
          </cell>
          <cell r="CK8">
            <v>30.628753312682846</v>
          </cell>
          <cell r="CL8">
            <v>788574.20000000007</v>
          </cell>
        </row>
        <row r="9">
          <cell r="AV9" t="str">
            <v>PA</v>
          </cell>
          <cell r="AW9">
            <v>1074532.29</v>
          </cell>
          <cell r="AX9">
            <v>333915.87</v>
          </cell>
          <cell r="AY9">
            <v>97735.97</v>
          </cell>
          <cell r="AZ9">
            <v>360993.78</v>
          </cell>
          <cell r="BA9">
            <v>278352.90999999997</v>
          </cell>
          <cell r="BB9">
            <v>694909.65</v>
          </cell>
          <cell r="BC9">
            <v>376088.88</v>
          </cell>
          <cell r="BD9">
            <v>1070998.53</v>
          </cell>
          <cell r="BE9">
            <v>-3533.7600000000093</v>
          </cell>
          <cell r="BF9">
            <v>-0.32886494271847422</v>
          </cell>
          <cell r="BG9">
            <v>94839.63</v>
          </cell>
          <cell r="BH9">
            <v>10457.16</v>
          </cell>
          <cell r="BI9">
            <v>12471.59</v>
          </cell>
          <cell r="BJ9">
            <v>39996.42</v>
          </cell>
          <cell r="BK9">
            <v>35011.339999999997</v>
          </cell>
          <cell r="BL9">
            <v>50453.58</v>
          </cell>
          <cell r="BM9">
            <v>47482.929999999993</v>
          </cell>
          <cell r="BN9">
            <v>97936.51</v>
          </cell>
          <cell r="BO9">
            <v>3096.8799999999901</v>
          </cell>
          <cell r="BP9">
            <v>3.2653859995025183</v>
          </cell>
          <cell r="BQ9">
            <v>1041402.51</v>
          </cell>
          <cell r="BR9">
            <v>313429.73</v>
          </cell>
          <cell r="BS9">
            <v>745396.98</v>
          </cell>
          <cell r="BT9">
            <v>1058826.71</v>
          </cell>
          <cell r="BU9">
            <v>17424.199999999953</v>
          </cell>
          <cell r="BV9">
            <v>1.6731474941422939</v>
          </cell>
          <cell r="BW9">
            <v>83822.97</v>
          </cell>
          <cell r="BX9">
            <v>31956.71</v>
          </cell>
          <cell r="BY9">
            <v>80247.100000000006</v>
          </cell>
          <cell r="BZ9">
            <v>112203.81</v>
          </cell>
          <cell r="CA9">
            <v>28380.839999999997</v>
          </cell>
          <cell r="CB9">
            <v>33.858070168594594</v>
          </cell>
          <cell r="CC9">
            <v>2294597.4</v>
          </cell>
          <cell r="CD9">
            <v>689759.47</v>
          </cell>
          <cell r="CE9">
            <v>110207.56</v>
          </cell>
          <cell r="CF9">
            <v>1226634.28</v>
          </cell>
          <cell r="CG9">
            <v>313364.25</v>
          </cell>
          <cell r="CH9">
            <v>1916393.75</v>
          </cell>
          <cell r="CI9">
            <v>-1.5494953717066551</v>
          </cell>
          <cell r="CJ9">
            <v>423571.81</v>
          </cell>
          <cell r="CK9">
            <v>21.701399940800229</v>
          </cell>
          <cell r="CL9">
            <v>2339965.56</v>
          </cell>
        </row>
        <row r="10">
          <cell r="AV10" t="str">
            <v>RO</v>
          </cell>
          <cell r="AW10">
            <v>525160.04</v>
          </cell>
          <cell r="AX10">
            <v>183157.62</v>
          </cell>
          <cell r="AY10">
            <v>46675.42</v>
          </cell>
          <cell r="AZ10">
            <v>218767.71</v>
          </cell>
          <cell r="BA10">
            <v>53565.23</v>
          </cell>
          <cell r="BB10">
            <v>401925.32999999996</v>
          </cell>
          <cell r="BC10">
            <v>100240.65</v>
          </cell>
          <cell r="BD10">
            <v>502165.98</v>
          </cell>
          <cell r="BE10">
            <v>-22994.060000000056</v>
          </cell>
          <cell r="BF10">
            <v>-4.3784862229807233</v>
          </cell>
          <cell r="BG10">
            <v>44089.25</v>
          </cell>
          <cell r="BH10">
            <v>6977.02</v>
          </cell>
          <cell r="BI10">
            <v>20066.79</v>
          </cell>
          <cell r="BJ10">
            <v>23014.78</v>
          </cell>
          <cell r="BK10">
            <v>11979.01</v>
          </cell>
          <cell r="BL10">
            <v>29991.8</v>
          </cell>
          <cell r="BM10">
            <v>32045.800000000003</v>
          </cell>
          <cell r="BN10">
            <v>62037.600000000006</v>
          </cell>
          <cell r="BO10">
            <v>17948.350000000006</v>
          </cell>
          <cell r="BP10">
            <v>40.709129776532841</v>
          </cell>
          <cell r="BQ10">
            <v>895846.53</v>
          </cell>
          <cell r="BR10">
            <v>271639.2</v>
          </cell>
          <cell r="BS10">
            <v>610363.17000000004</v>
          </cell>
          <cell r="BT10">
            <v>882002.37000000011</v>
          </cell>
          <cell r="BU10">
            <v>-13844.159999999916</v>
          </cell>
          <cell r="BV10">
            <v>-1.5453718395270131</v>
          </cell>
          <cell r="BW10">
            <v>61623.05</v>
          </cell>
          <cell r="BX10">
            <v>21721.15</v>
          </cell>
          <cell r="BY10">
            <v>51128.74</v>
          </cell>
          <cell r="BZ10">
            <v>72849.89</v>
          </cell>
          <cell r="CA10">
            <v>11226.839999999997</v>
          </cell>
          <cell r="CB10">
            <v>18.218572433529332</v>
          </cell>
          <cell r="CC10">
            <v>1526718.87</v>
          </cell>
          <cell r="CD10">
            <v>483494.99</v>
          </cell>
          <cell r="CE10">
            <v>66742.209999999992</v>
          </cell>
          <cell r="CF10">
            <v>903274.4</v>
          </cell>
          <cell r="CG10">
            <v>65544.240000000005</v>
          </cell>
          <cell r="CH10">
            <v>1386769.3900000001</v>
          </cell>
          <cell r="CI10">
            <v>-3.0925194278175923</v>
          </cell>
          <cell r="CJ10">
            <v>132286.45000000001</v>
          </cell>
          <cell r="CK10">
            <v>38.237901795688344</v>
          </cell>
          <cell r="CL10">
            <v>1519055.84</v>
          </cell>
        </row>
        <row r="11">
          <cell r="AV11" t="str">
            <v>RR</v>
          </cell>
          <cell r="AW11">
            <v>86186.42</v>
          </cell>
          <cell r="AX11">
            <v>36050.31</v>
          </cell>
          <cell r="AY11">
            <v>8524.7800000000007</v>
          </cell>
          <cell r="AZ11">
            <v>26284.38</v>
          </cell>
          <cell r="BA11">
            <v>13604</v>
          </cell>
          <cell r="BB11">
            <v>62334.69</v>
          </cell>
          <cell r="BC11">
            <v>22128.78</v>
          </cell>
          <cell r="BD11">
            <v>84463.47</v>
          </cell>
          <cell r="BE11">
            <v>-1722.9499999999971</v>
          </cell>
          <cell r="BF11">
            <v>-1.9990968414745582</v>
          </cell>
          <cell r="BG11">
            <v>13992.98</v>
          </cell>
          <cell r="BH11">
            <v>2446.6</v>
          </cell>
          <cell r="BI11">
            <v>2098.1</v>
          </cell>
          <cell r="BJ11">
            <v>3536.42</v>
          </cell>
          <cell r="BK11">
            <v>4943.41</v>
          </cell>
          <cell r="BL11">
            <v>5983.02</v>
          </cell>
          <cell r="BM11">
            <v>7041.51</v>
          </cell>
          <cell r="BN11">
            <v>13024.53</v>
          </cell>
          <cell r="BO11">
            <v>-968.44999999999891</v>
          </cell>
          <cell r="BP11">
            <v>-6.9209703722866678</v>
          </cell>
          <cell r="BQ11">
            <v>132869.91</v>
          </cell>
          <cell r="BR11">
            <v>51938.06</v>
          </cell>
          <cell r="BS11">
            <v>101942.42</v>
          </cell>
          <cell r="BT11">
            <v>153880.47999999998</v>
          </cell>
          <cell r="BU11">
            <v>21010.569999999978</v>
          </cell>
          <cell r="BV11">
            <v>15.812887959358124</v>
          </cell>
          <cell r="BW11">
            <v>8438.06</v>
          </cell>
          <cell r="BX11">
            <v>3325.77</v>
          </cell>
          <cell r="BY11">
            <v>3294.08</v>
          </cell>
          <cell r="BZ11">
            <v>6619.85</v>
          </cell>
          <cell r="CA11">
            <v>-1818.2099999999991</v>
          </cell>
          <cell r="CB11">
            <v>-21.547725425038447</v>
          </cell>
          <cell r="CC11">
            <v>241487.37</v>
          </cell>
          <cell r="CD11">
            <v>93760.74</v>
          </cell>
          <cell r="CE11">
            <v>10622.880000000001</v>
          </cell>
          <cell r="CF11">
            <v>135057.29999999999</v>
          </cell>
          <cell r="CG11">
            <v>18547.41</v>
          </cell>
          <cell r="CH11">
            <v>228818.03999999998</v>
          </cell>
          <cell r="CI11">
            <v>4.2976877138578118</v>
          </cell>
          <cell r="CJ11">
            <v>29170.29</v>
          </cell>
          <cell r="CK11">
            <v>32.004199475065604</v>
          </cell>
          <cell r="CL11">
            <v>257988.33</v>
          </cell>
        </row>
        <row r="12">
          <cell r="AV12" t="str">
            <v>TO</v>
          </cell>
          <cell r="AW12">
            <v>332219.90000000002</v>
          </cell>
          <cell r="AX12">
            <v>117347.7</v>
          </cell>
          <cell r="AY12">
            <v>37132.5</v>
          </cell>
          <cell r="AZ12">
            <v>124649.3</v>
          </cell>
          <cell r="BA12">
            <v>37999.17</v>
          </cell>
          <cell r="BB12">
            <v>241997</v>
          </cell>
          <cell r="BC12">
            <v>75131.67</v>
          </cell>
          <cell r="BD12">
            <v>317128.67</v>
          </cell>
          <cell r="BE12">
            <v>-15091.23000000004</v>
          </cell>
          <cell r="BF12">
            <v>-4.5425424545609809</v>
          </cell>
          <cell r="BG12">
            <v>52660.37</v>
          </cell>
          <cell r="BH12">
            <v>5385.96</v>
          </cell>
          <cell r="BI12">
            <v>8341.6200000000008</v>
          </cell>
          <cell r="BJ12">
            <v>19452.02</v>
          </cell>
          <cell r="BK12">
            <v>14236.29</v>
          </cell>
          <cell r="BL12">
            <v>24837.98</v>
          </cell>
          <cell r="BM12">
            <v>22577.910000000003</v>
          </cell>
          <cell r="BN12">
            <v>47415.89</v>
          </cell>
          <cell r="BO12">
            <v>-5244.4800000000032</v>
          </cell>
          <cell r="BP12">
            <v>-9.9590640931691183</v>
          </cell>
          <cell r="BQ12">
            <v>558854.86</v>
          </cell>
          <cell r="BR12">
            <v>150607.4</v>
          </cell>
          <cell r="BS12">
            <v>350748.1</v>
          </cell>
          <cell r="BT12">
            <v>501355.5</v>
          </cell>
          <cell r="BU12">
            <v>-57499.359999999986</v>
          </cell>
          <cell r="BV12">
            <v>-10.288782314606692</v>
          </cell>
          <cell r="BW12">
            <v>43558.04</v>
          </cell>
          <cell r="BX12">
            <v>14105.02</v>
          </cell>
          <cell r="BY12">
            <v>22268.22</v>
          </cell>
          <cell r="BZ12">
            <v>36373.240000000005</v>
          </cell>
          <cell r="CA12">
            <v>-7184.7999999999956</v>
          </cell>
          <cell r="CB12">
            <v>-16.494773410373824</v>
          </cell>
          <cell r="CC12">
            <v>987293.17</v>
          </cell>
          <cell r="CD12">
            <v>287446.08</v>
          </cell>
          <cell r="CE12">
            <v>45474.12</v>
          </cell>
          <cell r="CF12">
            <v>517117.64</v>
          </cell>
          <cell r="CG12">
            <v>52235.46</v>
          </cell>
          <cell r="CH12">
            <v>804563.72</v>
          </cell>
          <cell r="CI12">
            <v>-12.042515356357015</v>
          </cell>
          <cell r="CJ12">
            <v>97709.58</v>
          </cell>
          <cell r="CK12">
            <v>34.633919156196811</v>
          </cell>
          <cell r="CL12">
            <v>902273.29999999993</v>
          </cell>
        </row>
        <row r="13">
          <cell r="AV13" t="str">
            <v>Soma (N)</v>
          </cell>
          <cell r="AW13">
            <v>3415181.01</v>
          </cell>
          <cell r="AX13">
            <v>1068603.05</v>
          </cell>
          <cell r="AY13">
            <v>343289.02</v>
          </cell>
          <cell r="AZ13">
            <v>1322442.77</v>
          </cell>
          <cell r="BA13">
            <v>577366.85</v>
          </cell>
          <cell r="BB13">
            <v>2391045.8200000003</v>
          </cell>
          <cell r="BC13">
            <v>920655.87</v>
          </cell>
          <cell r="BD13">
            <v>3311701.6900000004</v>
          </cell>
          <cell r="BE13">
            <v>-103479.31999999937</v>
          </cell>
          <cell r="BF13">
            <v>-3.0299805397430277</v>
          </cell>
          <cell r="BG13">
            <v>376207.81</v>
          </cell>
          <cell r="BH13">
            <v>44126.54</v>
          </cell>
          <cell r="BI13">
            <v>76172.5</v>
          </cell>
          <cell r="BJ13">
            <v>147382.99</v>
          </cell>
          <cell r="BK13">
            <v>117768.54</v>
          </cell>
          <cell r="BL13">
            <v>191509.53</v>
          </cell>
          <cell r="BM13">
            <v>193941.03999999998</v>
          </cell>
          <cell r="BN13">
            <v>385450.56999999995</v>
          </cell>
          <cell r="BO13">
            <v>9242.7599999999511</v>
          </cell>
          <cell r="BP13">
            <v>2.4568229989696255</v>
          </cell>
          <cell r="BQ13">
            <v>4001740.34</v>
          </cell>
          <cell r="BR13">
            <v>1232438.8400000001</v>
          </cell>
          <cell r="BS13">
            <v>2745786.22</v>
          </cell>
          <cell r="BT13">
            <v>3978225.0600000005</v>
          </cell>
          <cell r="BU13">
            <v>-23515.279999999329</v>
          </cell>
          <cell r="BV13">
            <v>-0.58762633259706532</v>
          </cell>
          <cell r="BW13">
            <v>338864.84</v>
          </cell>
          <cell r="BX13">
            <v>127730.32</v>
          </cell>
          <cell r="BY13">
            <v>276339.82</v>
          </cell>
          <cell r="BZ13">
            <v>404070.14</v>
          </cell>
          <cell r="CA13">
            <v>65205.299999999988</v>
          </cell>
          <cell r="CB13">
            <v>19.24227370417066</v>
          </cell>
          <cell r="CC13">
            <v>8131994</v>
          </cell>
          <cell r="CD13">
            <v>2472898.75</v>
          </cell>
          <cell r="CE13">
            <v>419461.52</v>
          </cell>
          <cell r="CF13">
            <v>4491951.8000000007</v>
          </cell>
          <cell r="CG13">
            <v>695135.39</v>
          </cell>
          <cell r="CH13">
            <v>6964850.5500000007</v>
          </cell>
          <cell r="CI13">
            <v>-4.1941403510223836</v>
          </cell>
          <cell r="CJ13">
            <v>1114596.9100000001</v>
          </cell>
          <cell r="CK13">
            <v>29.267630154285627</v>
          </cell>
          <cell r="CL13">
            <v>8079447.4600000009</v>
          </cell>
        </row>
        <row r="14">
          <cell r="AV14" t="str">
            <v>AL</v>
          </cell>
          <cell r="AW14">
            <v>748706.49</v>
          </cell>
          <cell r="AX14">
            <v>363125.21</v>
          </cell>
          <cell r="AY14">
            <v>74193.149999999994</v>
          </cell>
          <cell r="AZ14">
            <v>202588.71</v>
          </cell>
          <cell r="BA14">
            <v>76701.42</v>
          </cell>
          <cell r="BB14">
            <v>565713.92000000004</v>
          </cell>
          <cell r="BC14">
            <v>150894.57</v>
          </cell>
          <cell r="BD14">
            <v>716608.49</v>
          </cell>
          <cell r="BE14">
            <v>-32098</v>
          </cell>
          <cell r="BF14">
            <v>-4.2871272559691578</v>
          </cell>
          <cell r="BG14">
            <v>49668.94</v>
          </cell>
          <cell r="BH14">
            <v>5552.58</v>
          </cell>
          <cell r="BI14">
            <v>3906.61</v>
          </cell>
          <cell r="BJ14">
            <v>13790.99</v>
          </cell>
          <cell r="BK14">
            <v>22825.14</v>
          </cell>
          <cell r="BL14">
            <v>19343.57</v>
          </cell>
          <cell r="BM14">
            <v>26731.75</v>
          </cell>
          <cell r="BN14">
            <v>46075.32</v>
          </cell>
          <cell r="BO14">
            <v>-3593.6200000000026</v>
          </cell>
          <cell r="BP14">
            <v>-7.2351453443540423</v>
          </cell>
          <cell r="BQ14">
            <v>747715.18</v>
          </cell>
          <cell r="BR14">
            <v>290077.07</v>
          </cell>
          <cell r="BS14">
            <v>550829.06999999995</v>
          </cell>
          <cell r="BT14">
            <v>840906.1399999999</v>
          </cell>
          <cell r="BU14">
            <v>93190.959999999846</v>
          </cell>
          <cell r="BV14">
            <v>12.463430259634402</v>
          </cell>
          <cell r="BW14">
            <v>90965.9</v>
          </cell>
          <cell r="BX14">
            <v>26832.31</v>
          </cell>
          <cell r="BY14">
            <v>56773.45</v>
          </cell>
          <cell r="BZ14">
            <v>83605.759999999995</v>
          </cell>
          <cell r="CA14">
            <v>-7360.1399999999994</v>
          </cell>
          <cell r="CB14">
            <v>-8.0910978729391996</v>
          </cell>
          <cell r="CC14">
            <v>1637056.5099999998</v>
          </cell>
          <cell r="CD14">
            <v>685587.17000000016</v>
          </cell>
          <cell r="CE14">
            <v>78099.759999999995</v>
          </cell>
          <cell r="CF14">
            <v>823982.21999999986</v>
          </cell>
          <cell r="CG14">
            <v>99526.56</v>
          </cell>
          <cell r="CH14">
            <v>1509569.3900000001</v>
          </cell>
          <cell r="CI14">
            <v>1.2833849947663225</v>
          </cell>
          <cell r="CJ14">
            <v>177626.32</v>
          </cell>
          <cell r="CK14">
            <v>21.15135939852351</v>
          </cell>
          <cell r="CL14">
            <v>1687195.7100000002</v>
          </cell>
        </row>
        <row r="15">
          <cell r="AV15" t="str">
            <v>BA</v>
          </cell>
          <cell r="AW15">
            <v>2420015.23</v>
          </cell>
          <cell r="AX15">
            <v>940732.99</v>
          </cell>
          <cell r="AY15">
            <v>307642.63</v>
          </cell>
          <cell r="AZ15">
            <v>837606.42</v>
          </cell>
          <cell r="BA15">
            <v>232422.21</v>
          </cell>
          <cell r="BB15">
            <v>1778339.4100000001</v>
          </cell>
          <cell r="BC15">
            <v>540064.84</v>
          </cell>
          <cell r="BD15">
            <v>2318404.25</v>
          </cell>
          <cell r="BE15">
            <v>-101610.97999999998</v>
          </cell>
          <cell r="BF15">
            <v>-4.1987744019280395</v>
          </cell>
          <cell r="BG15">
            <v>271886.89</v>
          </cell>
          <cell r="BH15">
            <v>31063.35</v>
          </cell>
          <cell r="BI15">
            <v>61261.22</v>
          </cell>
          <cell r="BJ15">
            <v>83215.210000000006</v>
          </cell>
          <cell r="BK15">
            <v>54879.21</v>
          </cell>
          <cell r="BL15">
            <v>114278.56</v>
          </cell>
          <cell r="BM15">
            <v>116140.43</v>
          </cell>
          <cell r="BN15">
            <v>230418.99</v>
          </cell>
          <cell r="BO15">
            <v>-41467.900000000023</v>
          </cell>
          <cell r="BP15">
            <v>-15.251893903380195</v>
          </cell>
          <cell r="BQ15">
            <v>1814966.75</v>
          </cell>
          <cell r="BR15">
            <v>696206.23</v>
          </cell>
          <cell r="BS15">
            <v>1587674.95</v>
          </cell>
          <cell r="BT15">
            <v>2283881.1799999997</v>
          </cell>
          <cell r="BU15">
            <v>468914.4299999997</v>
          </cell>
          <cell r="BV15">
            <v>25.835979088873103</v>
          </cell>
          <cell r="BW15">
            <v>201878.44</v>
          </cell>
          <cell r="BX15">
            <v>96735.21</v>
          </cell>
          <cell r="BY15">
            <v>153048.53</v>
          </cell>
          <cell r="BZ15">
            <v>249783.74</v>
          </cell>
          <cell r="CA15">
            <v>47905.299999999988</v>
          </cell>
          <cell r="CB15">
            <v>23.729775205316621</v>
          </cell>
          <cell r="CC15">
            <v>4708747.3100000005</v>
          </cell>
          <cell r="CD15">
            <v>1764737.7799999998</v>
          </cell>
          <cell r="CE15">
            <v>368903.85</v>
          </cell>
          <cell r="CF15">
            <v>2661545.11</v>
          </cell>
          <cell r="CG15">
            <v>287301.42</v>
          </cell>
          <cell r="CH15">
            <v>4426282.8899999997</v>
          </cell>
          <cell r="CI15">
            <v>4.4070746307120601</v>
          </cell>
          <cell r="CJ15">
            <v>656205.27</v>
          </cell>
          <cell r="CK15">
            <v>39.826387392866536</v>
          </cell>
          <cell r="CL15">
            <v>5082488.16</v>
          </cell>
        </row>
        <row r="16">
          <cell r="AV16" t="str">
            <v>CE</v>
          </cell>
          <cell r="AW16">
            <v>1622904.24</v>
          </cell>
          <cell r="AX16">
            <v>666529.57999999996</v>
          </cell>
          <cell r="AY16">
            <v>193014.15</v>
          </cell>
          <cell r="AZ16">
            <v>534126.85</v>
          </cell>
          <cell r="BA16">
            <v>182975.08</v>
          </cell>
          <cell r="BB16">
            <v>1200656.43</v>
          </cell>
          <cell r="BC16">
            <v>375989.23</v>
          </cell>
          <cell r="BD16">
            <v>1576645.66</v>
          </cell>
          <cell r="BE16">
            <v>-46258.580000000075</v>
          </cell>
          <cell r="BF16">
            <v>-2.8503579484147554</v>
          </cell>
          <cell r="BG16">
            <v>143743.46</v>
          </cell>
          <cell r="BH16">
            <v>17141.27</v>
          </cell>
          <cell r="BI16">
            <v>20361.009999999998</v>
          </cell>
          <cell r="BJ16">
            <v>44961.78</v>
          </cell>
          <cell r="BK16">
            <v>31117.66</v>
          </cell>
          <cell r="BL16">
            <v>62103.05</v>
          </cell>
          <cell r="BM16">
            <v>51478.67</v>
          </cell>
          <cell r="BN16">
            <v>113581.72</v>
          </cell>
          <cell r="BO16">
            <v>-30161.739999999991</v>
          </cell>
          <cell r="BP16">
            <v>-20.983034636845385</v>
          </cell>
          <cell r="BQ16">
            <v>1198213.81</v>
          </cell>
          <cell r="BR16">
            <v>524715.92000000004</v>
          </cell>
          <cell r="BS16">
            <v>1028186.91</v>
          </cell>
          <cell r="BT16">
            <v>1552902.83</v>
          </cell>
          <cell r="BU16">
            <v>354689.02</v>
          </cell>
          <cell r="BV16">
            <v>29.601479889469811</v>
          </cell>
          <cell r="BW16">
            <v>121352.98</v>
          </cell>
          <cell r="BX16">
            <v>68193.48</v>
          </cell>
          <cell r="BY16">
            <v>120545.66</v>
          </cell>
          <cell r="BZ16">
            <v>188739.14</v>
          </cell>
          <cell r="CA16">
            <v>67386.160000000018</v>
          </cell>
          <cell r="CB16">
            <v>55.529052521001155</v>
          </cell>
          <cell r="CC16">
            <v>3086214.4899999998</v>
          </cell>
          <cell r="CD16">
            <v>1276580.25</v>
          </cell>
          <cell r="CE16">
            <v>213375.16</v>
          </cell>
          <cell r="CF16">
            <v>1727821.2</v>
          </cell>
          <cell r="CG16">
            <v>214092.74</v>
          </cell>
          <cell r="CH16">
            <v>3004401.45</v>
          </cell>
          <cell r="CI16">
            <v>6.6114248195201526</v>
          </cell>
          <cell r="CJ16">
            <v>427467.9</v>
          </cell>
          <cell r="CK16">
            <v>59.42641267815236</v>
          </cell>
          <cell r="CL16">
            <v>3431869.35</v>
          </cell>
        </row>
        <row r="17">
          <cell r="AV17" t="str">
            <v>MA</v>
          </cell>
          <cell r="AW17">
            <v>790226.17</v>
          </cell>
          <cell r="AX17">
            <v>242315.77</v>
          </cell>
          <cell r="AY17">
            <v>71266.77</v>
          </cell>
          <cell r="AZ17">
            <v>311488.74</v>
          </cell>
          <cell r="BA17">
            <v>129063.02</v>
          </cell>
          <cell r="BB17">
            <v>553804.51</v>
          </cell>
          <cell r="BC17">
            <v>200329.79</v>
          </cell>
          <cell r="BD17">
            <v>754134.3</v>
          </cell>
          <cell r="BE17">
            <v>-36091.869999999995</v>
          </cell>
          <cell r="BF17">
            <v>-4.5672835664250391</v>
          </cell>
          <cell r="BG17">
            <v>85723.29</v>
          </cell>
          <cell r="BH17">
            <v>8034.14</v>
          </cell>
          <cell r="BI17">
            <v>9305.66</v>
          </cell>
          <cell r="BJ17">
            <v>27105.85</v>
          </cell>
          <cell r="BK17">
            <v>42830.77</v>
          </cell>
          <cell r="BL17">
            <v>35139.99</v>
          </cell>
          <cell r="BM17">
            <v>52136.429999999993</v>
          </cell>
          <cell r="BN17">
            <v>87276.419999999984</v>
          </cell>
          <cell r="BO17">
            <v>1553.1299999999901</v>
          </cell>
          <cell r="BP17">
            <v>1.8117946709698032</v>
          </cell>
          <cell r="BQ17">
            <v>565722.5</v>
          </cell>
          <cell r="BR17">
            <v>240539.94</v>
          </cell>
          <cell r="BS17">
            <v>465375.24</v>
          </cell>
          <cell r="BT17">
            <v>705915.17999999993</v>
          </cell>
          <cell r="BU17">
            <v>140192.67999999993</v>
          </cell>
          <cell r="BV17">
            <v>24.781174515774065</v>
          </cell>
          <cell r="BW17">
            <v>62302.22</v>
          </cell>
          <cell r="BX17">
            <v>26760.97</v>
          </cell>
          <cell r="BY17">
            <v>50428.94</v>
          </cell>
          <cell r="BZ17">
            <v>77189.91</v>
          </cell>
          <cell r="CA17">
            <v>14887.690000000002</v>
          </cell>
          <cell r="CB17">
            <v>23.895922167781507</v>
          </cell>
          <cell r="CC17">
            <v>1503974.18</v>
          </cell>
          <cell r="CD17">
            <v>517650.81999999995</v>
          </cell>
          <cell r="CE17">
            <v>80572.430000000008</v>
          </cell>
          <cell r="CF17">
            <v>854398.77</v>
          </cell>
          <cell r="CG17">
            <v>171893.79</v>
          </cell>
          <cell r="CH17">
            <v>1372049.5899999999</v>
          </cell>
          <cell r="CI17">
            <v>4.868957291856745</v>
          </cell>
          <cell r="CJ17">
            <v>252466.22000000003</v>
          </cell>
          <cell r="CK17">
            <v>29.054602973897744</v>
          </cell>
          <cell r="CL17">
            <v>1624515.8099999998</v>
          </cell>
        </row>
        <row r="18">
          <cell r="AV18" t="str">
            <v>PB</v>
          </cell>
          <cell r="AW18">
            <v>1143117.6100000001</v>
          </cell>
          <cell r="AX18">
            <v>390261.03</v>
          </cell>
          <cell r="AY18">
            <v>113603.13</v>
          </cell>
          <cell r="AZ18">
            <v>461562.5</v>
          </cell>
          <cell r="BA18">
            <v>132666.46</v>
          </cell>
          <cell r="BB18">
            <v>851823.53</v>
          </cell>
          <cell r="BC18">
            <v>246269.59</v>
          </cell>
          <cell r="BD18">
            <v>1098093.1200000001</v>
          </cell>
          <cell r="BE18">
            <v>-45024.489999999991</v>
          </cell>
          <cell r="BF18">
            <v>-3.9387452005047834</v>
          </cell>
          <cell r="BG18">
            <v>135589.42000000001</v>
          </cell>
          <cell r="BH18">
            <v>7464.39</v>
          </cell>
          <cell r="BI18">
            <v>15690.8</v>
          </cell>
          <cell r="BJ18">
            <v>34028.75</v>
          </cell>
          <cell r="BK18">
            <v>29376.48</v>
          </cell>
          <cell r="BL18">
            <v>41493.14</v>
          </cell>
          <cell r="BM18">
            <v>45067.28</v>
          </cell>
          <cell r="BN18">
            <v>86560.42</v>
          </cell>
          <cell r="BO18">
            <v>-49029.000000000015</v>
          </cell>
          <cell r="BP18">
            <v>-36.159900971624488</v>
          </cell>
          <cell r="BQ18">
            <v>972153.73</v>
          </cell>
          <cell r="BR18">
            <v>379182.89</v>
          </cell>
          <cell r="BS18">
            <v>729217.29</v>
          </cell>
          <cell r="BT18">
            <v>1108400.1800000002</v>
          </cell>
          <cell r="BU18">
            <v>136246.45000000019</v>
          </cell>
          <cell r="BV18">
            <v>14.014907909678048</v>
          </cell>
          <cell r="BW18">
            <v>99574.94</v>
          </cell>
          <cell r="BX18">
            <v>37903.300000000003</v>
          </cell>
          <cell r="BY18">
            <v>88292.83</v>
          </cell>
          <cell r="BZ18">
            <v>126196.13</v>
          </cell>
          <cell r="CA18">
            <v>26621.190000000002</v>
          </cell>
          <cell r="CB18">
            <v>26.734829064421227</v>
          </cell>
          <cell r="CC18">
            <v>2350435.6999999997</v>
          </cell>
          <cell r="CD18">
            <v>814811.6100000001</v>
          </cell>
          <cell r="CE18">
            <v>129293.93000000001</v>
          </cell>
          <cell r="CF18">
            <v>1313101.3700000001</v>
          </cell>
          <cell r="CG18">
            <v>162042.94</v>
          </cell>
          <cell r="CH18">
            <v>2127912.9800000004</v>
          </cell>
          <cell r="CI18">
            <v>1.7617435116333127</v>
          </cell>
          <cell r="CJ18">
            <v>291336.87</v>
          </cell>
          <cell r="CK18">
            <v>12.328249076667205</v>
          </cell>
          <cell r="CL18">
            <v>2419249.8500000006</v>
          </cell>
        </row>
        <row r="19">
          <cell r="AV19" t="str">
            <v>PE</v>
          </cell>
          <cell r="AW19">
            <v>2102144.17</v>
          </cell>
          <cell r="AX19">
            <v>791320.74</v>
          </cell>
          <cell r="AY19">
            <v>174944.63</v>
          </cell>
          <cell r="AZ19">
            <v>754452.73</v>
          </cell>
          <cell r="BA19">
            <v>261246.81</v>
          </cell>
          <cell r="BB19">
            <v>1545773.47</v>
          </cell>
          <cell r="BC19">
            <v>436191.44</v>
          </cell>
          <cell r="BD19">
            <v>1981964.91</v>
          </cell>
          <cell r="BE19">
            <v>-120179.26000000001</v>
          </cell>
          <cell r="BF19">
            <v>-5.7169846728447746</v>
          </cell>
          <cell r="BG19">
            <v>172860.17</v>
          </cell>
          <cell r="BH19">
            <v>19443.98</v>
          </cell>
          <cell r="BI19">
            <v>21625.78</v>
          </cell>
          <cell r="BJ19">
            <v>68412.84</v>
          </cell>
          <cell r="BK19">
            <v>23105.72</v>
          </cell>
          <cell r="BL19">
            <v>87856.819999999992</v>
          </cell>
          <cell r="BM19">
            <v>44731.5</v>
          </cell>
          <cell r="BN19">
            <v>132588.32</v>
          </cell>
          <cell r="BO19">
            <v>-40271.850000000006</v>
          </cell>
          <cell r="BP19">
            <v>-23.297356470261484</v>
          </cell>
          <cell r="BQ19">
            <v>2092438.81</v>
          </cell>
          <cell r="BR19">
            <v>622719.42000000004</v>
          </cell>
          <cell r="BS19">
            <v>1273696.24</v>
          </cell>
          <cell r="BT19">
            <v>1896415.6600000001</v>
          </cell>
          <cell r="BU19">
            <v>-196023.14999999991</v>
          </cell>
          <cell r="BV19">
            <v>-9.3681664220326653</v>
          </cell>
          <cell r="BW19">
            <v>240218.7</v>
          </cell>
          <cell r="BX19">
            <v>54643.38</v>
          </cell>
          <cell r="BY19">
            <v>135127.51999999999</v>
          </cell>
          <cell r="BZ19">
            <v>189770.9</v>
          </cell>
          <cell r="CA19">
            <v>-50447.800000000017</v>
          </cell>
          <cell r="CB19">
            <v>-21.000779706159438</v>
          </cell>
          <cell r="CC19">
            <v>4607661.8500000006</v>
          </cell>
          <cell r="CD19">
            <v>1488127.52</v>
          </cell>
          <cell r="CE19">
            <v>196570.41</v>
          </cell>
          <cell r="CF19">
            <v>2231689.33</v>
          </cell>
          <cell r="CG19">
            <v>284352.53000000003</v>
          </cell>
          <cell r="CH19">
            <v>3719816.85</v>
          </cell>
          <cell r="CI19">
            <v>-12.348344171039884</v>
          </cell>
          <cell r="CJ19">
            <v>480922.94000000006</v>
          </cell>
          <cell r="CK19">
            <v>32.195010364265215</v>
          </cell>
          <cell r="CL19">
            <v>4200739.79</v>
          </cell>
        </row>
        <row r="20">
          <cell r="AV20" t="str">
            <v>PI</v>
          </cell>
          <cell r="AW20">
            <v>608998.40000000002</v>
          </cell>
          <cell r="AX20">
            <v>251646.7</v>
          </cell>
          <cell r="AY20">
            <v>73095.64</v>
          </cell>
          <cell r="AZ20">
            <v>219520.17</v>
          </cell>
          <cell r="BA20">
            <v>49091.55</v>
          </cell>
          <cell r="BB20">
            <v>471166.87</v>
          </cell>
          <cell r="BC20">
            <v>122187.19</v>
          </cell>
          <cell r="BD20">
            <v>593354.06000000006</v>
          </cell>
          <cell r="BE20">
            <v>-15644.339999999967</v>
          </cell>
          <cell r="BF20">
            <v>-2.5688638919248339</v>
          </cell>
          <cell r="BG20">
            <v>84748.51</v>
          </cell>
          <cell r="BH20">
            <v>12491.98</v>
          </cell>
          <cell r="BI20">
            <v>33444.620000000003</v>
          </cell>
          <cell r="BJ20">
            <v>26575.88</v>
          </cell>
          <cell r="BK20">
            <v>16658.580000000002</v>
          </cell>
          <cell r="BL20">
            <v>39067.86</v>
          </cell>
          <cell r="BM20">
            <v>50103.200000000004</v>
          </cell>
          <cell r="BN20">
            <v>89171.06</v>
          </cell>
          <cell r="BO20">
            <v>4422.5500000000029</v>
          </cell>
          <cell r="BP20">
            <v>5.2184398286176394</v>
          </cell>
          <cell r="BQ20">
            <v>572113.23</v>
          </cell>
          <cell r="BR20">
            <v>164307.01999999999</v>
          </cell>
          <cell r="BS20">
            <v>383857.64</v>
          </cell>
          <cell r="BT20">
            <v>548164.66</v>
          </cell>
          <cell r="BU20">
            <v>-23948.569999999949</v>
          </cell>
          <cell r="BV20">
            <v>-4.1859843024430585</v>
          </cell>
          <cell r="BW20">
            <v>52739.15</v>
          </cell>
          <cell r="BX20">
            <v>26353.19</v>
          </cell>
          <cell r="BY20">
            <v>29413.85</v>
          </cell>
          <cell r="BZ20">
            <v>55767.039999999994</v>
          </cell>
          <cell r="CA20">
            <v>3027.8899999999921</v>
          </cell>
          <cell r="CB20">
            <v>5.7412567324274129</v>
          </cell>
          <cell r="CC20">
            <v>1318599.29</v>
          </cell>
          <cell r="CD20">
            <v>454798.88999999996</v>
          </cell>
          <cell r="CE20">
            <v>106540.26000000001</v>
          </cell>
          <cell r="CF20">
            <v>659367.54</v>
          </cell>
          <cell r="CG20">
            <v>65750.13</v>
          </cell>
          <cell r="CH20">
            <v>1114166.43</v>
          </cell>
          <cell r="CI20">
            <v>-8.0600415892727426</v>
          </cell>
          <cell r="CJ20">
            <v>172290.39</v>
          </cell>
          <cell r="CK20">
            <v>61.384140478531123</v>
          </cell>
          <cell r="CL20">
            <v>1286456.8199999998</v>
          </cell>
        </row>
        <row r="21">
          <cell r="AV21" t="str">
            <v>RN</v>
          </cell>
          <cell r="AW21">
            <v>948481.5</v>
          </cell>
          <cell r="AX21">
            <v>323296.78999999998</v>
          </cell>
          <cell r="AY21">
            <v>67300.240000000005</v>
          </cell>
          <cell r="AZ21">
            <v>357876.16</v>
          </cell>
          <cell r="BA21">
            <v>233852.89</v>
          </cell>
          <cell r="BB21">
            <v>681172.95</v>
          </cell>
          <cell r="BC21">
            <v>301153.13</v>
          </cell>
          <cell r="BD21">
            <v>982326.08</v>
          </cell>
          <cell r="BE21">
            <v>33844.579999999958</v>
          </cell>
          <cell r="BF21">
            <v>3.5682909998771675</v>
          </cell>
          <cell r="BG21">
            <v>85356.72</v>
          </cell>
          <cell r="BH21">
            <v>4543.84</v>
          </cell>
          <cell r="BI21">
            <v>11034.64</v>
          </cell>
          <cell r="BJ21">
            <v>23395.34</v>
          </cell>
          <cell r="BK21">
            <v>67793.02</v>
          </cell>
          <cell r="BL21">
            <v>27939.18</v>
          </cell>
          <cell r="BM21">
            <v>78827.66</v>
          </cell>
          <cell r="BN21">
            <v>106766.84</v>
          </cell>
          <cell r="BO21">
            <v>21410.119999999995</v>
          </cell>
          <cell r="BP21">
            <v>25.083110035155986</v>
          </cell>
          <cell r="BQ21">
            <v>1029193.36</v>
          </cell>
          <cell r="BR21">
            <v>266952.81</v>
          </cell>
          <cell r="BS21">
            <v>729031.69</v>
          </cell>
          <cell r="BT21">
            <v>995984.5</v>
          </cell>
          <cell r="BU21">
            <v>-33208.859999999986</v>
          </cell>
          <cell r="BV21">
            <v>-3.2266881317617506</v>
          </cell>
          <cell r="BW21">
            <v>80082.22</v>
          </cell>
          <cell r="BX21">
            <v>25184.04</v>
          </cell>
          <cell r="BY21">
            <v>83272.740000000005</v>
          </cell>
          <cell r="BZ21">
            <v>108456.78</v>
          </cell>
          <cell r="CA21">
            <v>28374.559999999998</v>
          </cell>
          <cell r="CB21">
            <v>35.431784982983736</v>
          </cell>
          <cell r="CC21">
            <v>2143113.8000000003</v>
          </cell>
          <cell r="CD21">
            <v>619977.48</v>
          </cell>
          <cell r="CE21">
            <v>78334.880000000005</v>
          </cell>
          <cell r="CF21">
            <v>1193575.93</v>
          </cell>
          <cell r="CG21">
            <v>301645.91000000003</v>
          </cell>
          <cell r="CH21">
            <v>1813553.41</v>
          </cell>
          <cell r="CI21">
            <v>-4.5564901235822504</v>
          </cell>
          <cell r="CJ21">
            <v>379980.79000000004</v>
          </cell>
          <cell r="CK21">
            <v>56.382901167222826</v>
          </cell>
          <cell r="CL21">
            <v>2193534.2000000002</v>
          </cell>
        </row>
        <row r="22">
          <cell r="AV22" t="str">
            <v>SE</v>
          </cell>
          <cell r="AW22">
            <v>591069.04</v>
          </cell>
          <cell r="AX22">
            <v>232463.89</v>
          </cell>
          <cell r="AY22">
            <v>65012.77</v>
          </cell>
          <cell r="AZ22">
            <v>236290.62</v>
          </cell>
          <cell r="BA22">
            <v>60482.05</v>
          </cell>
          <cell r="BB22">
            <v>468754.51</v>
          </cell>
          <cell r="BC22">
            <v>125494.82</v>
          </cell>
          <cell r="BD22">
            <v>594249.33000000007</v>
          </cell>
          <cell r="BE22">
            <v>3180.2900000000373</v>
          </cell>
          <cell r="BF22">
            <v>0.53805728007679732</v>
          </cell>
          <cell r="BG22">
            <v>52774.63</v>
          </cell>
          <cell r="BH22">
            <v>7029.02</v>
          </cell>
          <cell r="BI22">
            <v>8899.6200000000008</v>
          </cell>
          <cell r="BJ22">
            <v>15934.93</v>
          </cell>
          <cell r="BK22">
            <v>9718.9599999999991</v>
          </cell>
          <cell r="BL22">
            <v>22963.95</v>
          </cell>
          <cell r="BM22">
            <v>18618.580000000002</v>
          </cell>
          <cell r="BN22">
            <v>41582.53</v>
          </cell>
          <cell r="BO22">
            <v>-11192.099999999999</v>
          </cell>
          <cell r="BP22">
            <v>-21.20734906147139</v>
          </cell>
          <cell r="BQ22">
            <v>712518.48</v>
          </cell>
          <cell r="BR22">
            <v>288254.96000000002</v>
          </cell>
          <cell r="BS22">
            <v>559561.98</v>
          </cell>
          <cell r="BT22">
            <v>847816.94</v>
          </cell>
          <cell r="BU22">
            <v>135298.45999999996</v>
          </cell>
          <cell r="BV22">
            <v>18.988765035259149</v>
          </cell>
          <cell r="BW22">
            <v>55784.99</v>
          </cell>
          <cell r="BX22">
            <v>17696.78</v>
          </cell>
          <cell r="BY22">
            <v>52766.19</v>
          </cell>
          <cell r="BZ22">
            <v>70462.97</v>
          </cell>
          <cell r="CA22">
            <v>14677.980000000003</v>
          </cell>
          <cell r="CB22">
            <v>26.311701409285909</v>
          </cell>
          <cell r="CC22">
            <v>1412147.14</v>
          </cell>
          <cell r="CD22">
            <v>545444.65</v>
          </cell>
          <cell r="CE22">
            <v>73912.39</v>
          </cell>
          <cell r="CF22">
            <v>864553.72</v>
          </cell>
          <cell r="CG22">
            <v>70201.010000000009</v>
          </cell>
          <cell r="CH22">
            <v>1409998.37</v>
          </cell>
          <cell r="CI22">
            <v>6.5254589754764112</v>
          </cell>
          <cell r="CJ22">
            <v>144113.40000000002</v>
          </cell>
          <cell r="CK22">
            <v>62.800615128023878</v>
          </cell>
          <cell r="CL22">
            <v>1554111.77</v>
          </cell>
        </row>
        <row r="23">
          <cell r="AV23" t="str">
            <v>Soma (NE)</v>
          </cell>
          <cell r="AW23">
            <v>10975662.85</v>
          </cell>
          <cell r="AX23">
            <v>4201692.71</v>
          </cell>
          <cell r="AY23">
            <v>1140073.1100000001</v>
          </cell>
          <cell r="AZ23">
            <v>3915512.9</v>
          </cell>
          <cell r="BA23">
            <v>1358501.49</v>
          </cell>
          <cell r="BB23">
            <v>8117205.6099999994</v>
          </cell>
          <cell r="BC23">
            <v>2498574.6</v>
          </cell>
          <cell r="BD23">
            <v>10615780.209999999</v>
          </cell>
          <cell r="BE23">
            <v>-359882.6400000006</v>
          </cell>
          <cell r="BF23">
            <v>-3.27891485843154</v>
          </cell>
          <cell r="BG23">
            <v>1082352.03</v>
          </cell>
          <cell r="BH23">
            <v>112764.55</v>
          </cell>
          <cell r="BI23">
            <v>185529.96</v>
          </cell>
          <cell r="BJ23">
            <v>337421.57</v>
          </cell>
          <cell r="BK23">
            <v>298305.53999999998</v>
          </cell>
          <cell r="BL23">
            <v>450186.12</v>
          </cell>
          <cell r="BM23">
            <v>483835.5</v>
          </cell>
          <cell r="BN23">
            <v>934021.62</v>
          </cell>
          <cell r="BO23">
            <v>-148330.41000000003</v>
          </cell>
          <cell r="BP23">
            <v>-13.704451591410608</v>
          </cell>
          <cell r="BQ23">
            <v>9705035.8499999996</v>
          </cell>
          <cell r="BR23">
            <v>3472956.26</v>
          </cell>
          <cell r="BS23">
            <v>7307431.0199999996</v>
          </cell>
          <cell r="BT23">
            <v>10780387.279999999</v>
          </cell>
          <cell r="BU23">
            <v>1075351.4299999997</v>
          </cell>
          <cell r="BV23">
            <v>11.080344747000597</v>
          </cell>
          <cell r="BW23">
            <v>1004899.54</v>
          </cell>
          <cell r="BX23">
            <v>380302.66</v>
          </cell>
          <cell r="BY23">
            <v>769669.7</v>
          </cell>
          <cell r="BZ23">
            <v>1149972.3599999999</v>
          </cell>
          <cell r="CA23">
            <v>145072.81999999983</v>
          </cell>
          <cell r="CB23">
            <v>14.436549548027442</v>
          </cell>
          <cell r="CC23">
            <v>22767950.269999996</v>
          </cell>
          <cell r="CD23">
            <v>8167716.1799999997</v>
          </cell>
          <cell r="CE23">
            <v>1325603.07</v>
          </cell>
          <cell r="CF23">
            <v>12330035.189999998</v>
          </cell>
          <cell r="CG23">
            <v>1656807.03</v>
          </cell>
          <cell r="CH23">
            <v>20497751.360000003</v>
          </cell>
          <cell r="CI23">
            <v>-0.62591691677673111</v>
          </cell>
          <cell r="CJ23">
            <v>2982410.1</v>
          </cell>
          <cell r="CK23">
            <v>39.293885980764713</v>
          </cell>
          <cell r="CL23">
            <v>23480161.460000005</v>
          </cell>
        </row>
        <row r="24">
          <cell r="AV24" t="str">
            <v>DF</v>
          </cell>
          <cell r="AW24">
            <v>2451304.0699999998</v>
          </cell>
          <cell r="AX24">
            <v>1022493.35</v>
          </cell>
          <cell r="AY24">
            <v>171310.25</v>
          </cell>
          <cell r="AZ24">
            <v>793207.69</v>
          </cell>
          <cell r="BA24">
            <v>346729.64</v>
          </cell>
          <cell r="BB24">
            <v>1815701.04</v>
          </cell>
          <cell r="BC24">
            <v>518039.89</v>
          </cell>
          <cell r="BD24">
            <v>2333740.9300000002</v>
          </cell>
          <cell r="BE24">
            <v>-117563.13999999966</v>
          </cell>
          <cell r="BF24">
            <v>-4.795942757113755</v>
          </cell>
          <cell r="BG24">
            <v>205072.03</v>
          </cell>
          <cell r="BH24">
            <v>26041.17</v>
          </cell>
          <cell r="BI24">
            <v>26720.66</v>
          </cell>
          <cell r="BJ24">
            <v>83434.899999999994</v>
          </cell>
          <cell r="BK24">
            <v>46146.11</v>
          </cell>
          <cell r="BL24">
            <v>109476.06999999999</v>
          </cell>
          <cell r="BM24">
            <v>72866.77</v>
          </cell>
          <cell r="BN24">
            <v>182342.84</v>
          </cell>
          <cell r="BO24">
            <v>-22729.190000000002</v>
          </cell>
          <cell r="BP24">
            <v>-11.083515387251982</v>
          </cell>
          <cell r="BQ24">
            <v>1809816.02</v>
          </cell>
          <cell r="BR24">
            <v>452159.62</v>
          </cell>
          <cell r="BS24">
            <v>1206524.52</v>
          </cell>
          <cell r="BT24">
            <v>1658684.1400000001</v>
          </cell>
          <cell r="BU24">
            <v>-151131.87999999989</v>
          </cell>
          <cell r="BV24">
            <v>-8.350676440580953</v>
          </cell>
          <cell r="BW24">
            <v>227700.96</v>
          </cell>
          <cell r="BX24">
            <v>67336.5</v>
          </cell>
          <cell r="BY24">
            <v>166653.37</v>
          </cell>
          <cell r="BZ24">
            <v>233989.87</v>
          </cell>
          <cell r="CA24">
            <v>6288.9100000000035</v>
          </cell>
          <cell r="CB24">
            <v>2.7619163309632091</v>
          </cell>
          <cell r="CC24">
            <v>4693893.0799999991</v>
          </cell>
          <cell r="CD24">
            <v>1568030.6400000001</v>
          </cell>
          <cell r="CE24">
            <v>198030.91</v>
          </cell>
          <cell r="CF24">
            <v>2249820.48</v>
          </cell>
          <cell r="CG24">
            <v>392875.75</v>
          </cell>
          <cell r="CH24">
            <v>3817851.12</v>
          </cell>
          <cell r="CI24">
            <v>-9.5821890068722837</v>
          </cell>
          <cell r="CJ24">
            <v>590906.66</v>
          </cell>
          <cell r="CK24">
            <v>25.341235278351149</v>
          </cell>
          <cell r="CL24">
            <v>4408757.78</v>
          </cell>
        </row>
        <row r="25">
          <cell r="AV25" t="str">
            <v>GO</v>
          </cell>
          <cell r="AW25">
            <v>1957859.13</v>
          </cell>
          <cell r="AX25">
            <v>798742.33</v>
          </cell>
          <cell r="AY25">
            <v>185963.59</v>
          </cell>
          <cell r="AZ25">
            <v>669364.74</v>
          </cell>
          <cell r="BA25">
            <v>259889.33</v>
          </cell>
          <cell r="BB25">
            <v>1468107.0699999998</v>
          </cell>
          <cell r="BC25">
            <v>445852.92</v>
          </cell>
          <cell r="BD25">
            <v>1913959.9899999998</v>
          </cell>
          <cell r="BE25">
            <v>-43899.14000000013</v>
          </cell>
          <cell r="BF25">
            <v>-2.2422011536652349</v>
          </cell>
          <cell r="BG25">
            <v>175132.79999999999</v>
          </cell>
          <cell r="BH25">
            <v>20832.560000000001</v>
          </cell>
          <cell r="BI25">
            <v>30511.72</v>
          </cell>
          <cell r="BJ25">
            <v>57345.34</v>
          </cell>
          <cell r="BK25">
            <v>39960.79</v>
          </cell>
          <cell r="BL25">
            <v>78177.899999999994</v>
          </cell>
          <cell r="BM25">
            <v>70472.510000000009</v>
          </cell>
          <cell r="BN25">
            <v>148650.41</v>
          </cell>
          <cell r="BO25">
            <v>-26482.389999999985</v>
          </cell>
          <cell r="BP25">
            <v>-15.121319364505098</v>
          </cell>
          <cell r="BQ25">
            <v>3013180.56</v>
          </cell>
          <cell r="BR25">
            <v>908014.14</v>
          </cell>
          <cell r="BS25">
            <v>2084270.12</v>
          </cell>
          <cell r="BT25">
            <v>2992284.2600000002</v>
          </cell>
          <cell r="BU25">
            <v>-20896.299999999814</v>
          </cell>
          <cell r="BV25">
            <v>-0.69349644284177292</v>
          </cell>
          <cell r="BW25">
            <v>141715.85999999999</v>
          </cell>
          <cell r="BX25">
            <v>73445.86</v>
          </cell>
          <cell r="BY25">
            <v>163036.85</v>
          </cell>
          <cell r="BZ25">
            <v>236482.71000000002</v>
          </cell>
          <cell r="CA25">
            <v>94766.850000000035</v>
          </cell>
          <cell r="CB25">
            <v>66.871026291623281</v>
          </cell>
          <cell r="CC25">
            <v>5287888.3500000006</v>
          </cell>
          <cell r="CD25">
            <v>1801034.8900000001</v>
          </cell>
          <cell r="CE25">
            <v>216475.31</v>
          </cell>
          <cell r="CF25">
            <v>2974017.0500000003</v>
          </cell>
          <cell r="CG25">
            <v>299850.12</v>
          </cell>
          <cell r="CH25">
            <v>4775051.9400000004</v>
          </cell>
          <cell r="CI25">
            <v>-1.8605413337109269</v>
          </cell>
          <cell r="CJ25">
            <v>516325.43</v>
          </cell>
          <cell r="CK25">
            <v>22.262086218395694</v>
          </cell>
          <cell r="CL25">
            <v>5291377.37</v>
          </cell>
        </row>
        <row r="26">
          <cell r="AV26" t="str">
            <v>MS</v>
          </cell>
          <cell r="AW26">
            <v>1269576.8</v>
          </cell>
          <cell r="AX26">
            <v>519715.76</v>
          </cell>
          <cell r="AY26">
            <v>142505.5</v>
          </cell>
          <cell r="AZ26">
            <v>423882.5</v>
          </cell>
          <cell r="BA26">
            <v>218463.86</v>
          </cell>
          <cell r="BB26">
            <v>943598.26</v>
          </cell>
          <cell r="BC26">
            <v>360969.36</v>
          </cell>
          <cell r="BD26">
            <v>1304567.6200000001</v>
          </cell>
          <cell r="BE26">
            <v>34990.820000000065</v>
          </cell>
          <cell r="BF26">
            <v>2.7561010881736387</v>
          </cell>
          <cell r="BG26">
            <v>166123.97</v>
          </cell>
          <cell r="BH26">
            <v>23104.49</v>
          </cell>
          <cell r="BI26">
            <v>27704.560000000001</v>
          </cell>
          <cell r="BJ26">
            <v>40468.1</v>
          </cell>
          <cell r="BK26">
            <v>47466.66</v>
          </cell>
          <cell r="BL26">
            <v>63572.59</v>
          </cell>
          <cell r="BM26">
            <v>75171.22</v>
          </cell>
          <cell r="BN26">
            <v>138743.81</v>
          </cell>
          <cell r="BO26">
            <v>-27380.160000000003</v>
          </cell>
          <cell r="BP26">
            <v>-16.481763588963112</v>
          </cell>
          <cell r="BQ26">
            <v>2214721.1</v>
          </cell>
          <cell r="BR26">
            <v>632795.64</v>
          </cell>
          <cell r="BS26">
            <v>1330055.8500000001</v>
          </cell>
          <cell r="BT26">
            <v>1962851.4900000002</v>
          </cell>
          <cell r="BU26">
            <v>-251869.60999999987</v>
          </cell>
          <cell r="BV26">
            <v>-11.372520449640357</v>
          </cell>
          <cell r="BW26">
            <v>151423.26</v>
          </cell>
          <cell r="BX26">
            <v>58551.83</v>
          </cell>
          <cell r="BY26">
            <v>125608.45</v>
          </cell>
          <cell r="BZ26">
            <v>184160.28</v>
          </cell>
          <cell r="CA26">
            <v>32737.01999999999</v>
          </cell>
          <cell r="CB26">
            <v>21.619545108195389</v>
          </cell>
          <cell r="CC26">
            <v>3801845.13</v>
          </cell>
          <cell r="CD26">
            <v>1234167.7200000002</v>
          </cell>
          <cell r="CE26">
            <v>170210.06</v>
          </cell>
          <cell r="CF26">
            <v>1920014.9000000001</v>
          </cell>
          <cell r="CG26">
            <v>265930.52</v>
          </cell>
          <cell r="CH26">
            <v>3154182.62</v>
          </cell>
          <cell r="CI26">
            <v>-8.3947482282053443</v>
          </cell>
          <cell r="CJ26">
            <v>436140.58</v>
          </cell>
          <cell r="CK26">
            <v>21.619159484293533</v>
          </cell>
          <cell r="CL26">
            <v>3590323.2</v>
          </cell>
        </row>
        <row r="27">
          <cell r="AV27" t="str">
            <v>MT</v>
          </cell>
          <cell r="AW27">
            <v>1415958.52</v>
          </cell>
          <cell r="AX27">
            <v>567082.43999999994</v>
          </cell>
          <cell r="AY27">
            <v>96069.18</v>
          </cell>
          <cell r="AZ27">
            <v>522784.44</v>
          </cell>
          <cell r="BA27">
            <v>160106.78</v>
          </cell>
          <cell r="BB27">
            <v>1089866.8799999999</v>
          </cell>
          <cell r="BC27">
            <v>256175.96</v>
          </cell>
          <cell r="BD27">
            <v>1346042.8399999999</v>
          </cell>
          <cell r="BE27">
            <v>-69915.680000000168</v>
          </cell>
          <cell r="BF27">
            <v>-4.9376926663077789</v>
          </cell>
          <cell r="BG27">
            <v>171026.45</v>
          </cell>
          <cell r="BH27">
            <v>20361.580000000002</v>
          </cell>
          <cell r="BI27">
            <v>17176.18</v>
          </cell>
          <cell r="BJ27">
            <v>79466.509999999995</v>
          </cell>
          <cell r="BK27">
            <v>36094.42</v>
          </cell>
          <cell r="BL27">
            <v>99828.09</v>
          </cell>
          <cell r="BM27">
            <v>53270.6</v>
          </cell>
          <cell r="BN27">
            <v>153098.69</v>
          </cell>
          <cell r="BO27">
            <v>-17927.760000000009</v>
          </cell>
          <cell r="BP27">
            <v>-10.482448767427499</v>
          </cell>
          <cell r="BQ27">
            <v>3353606.06</v>
          </cell>
          <cell r="BR27">
            <v>888619.79</v>
          </cell>
          <cell r="BS27">
            <v>2165216.66</v>
          </cell>
          <cell r="BT27">
            <v>3053836.45</v>
          </cell>
          <cell r="BU27">
            <v>-299769.60999999987</v>
          </cell>
          <cell r="BV27">
            <v>-8.9387246038075165</v>
          </cell>
          <cell r="BW27">
            <v>141424.85</v>
          </cell>
          <cell r="BX27">
            <v>37330.75</v>
          </cell>
          <cell r="BY27">
            <v>94093.9</v>
          </cell>
          <cell r="BZ27">
            <v>131424.65</v>
          </cell>
          <cell r="CA27">
            <v>-10000.200000000012</v>
          </cell>
          <cell r="CB27">
            <v>-7.0710345459090194</v>
          </cell>
          <cell r="CC27">
            <v>5082015.88</v>
          </cell>
          <cell r="CD27">
            <v>1513394.56</v>
          </cell>
          <cell r="CE27">
            <v>113245.35999999999</v>
          </cell>
          <cell r="CF27">
            <v>2861561.5100000002</v>
          </cell>
          <cell r="CG27">
            <v>196201.2</v>
          </cell>
          <cell r="CH27">
            <v>4374956.07</v>
          </cell>
          <cell r="CI27">
            <v>-9.89850424866286</v>
          </cell>
          <cell r="CJ27">
            <v>309446.56</v>
          </cell>
          <cell r="CK27">
            <v>36.663614942548492</v>
          </cell>
          <cell r="CL27">
            <v>4684402.63</v>
          </cell>
        </row>
        <row r="28">
          <cell r="AV28" t="str">
            <v>Soma (CO)</v>
          </cell>
          <cell r="AW28">
            <v>7094698.5199999996</v>
          </cell>
          <cell r="AX28">
            <v>2908033.88</v>
          </cell>
          <cell r="AY28">
            <v>595848.53</v>
          </cell>
          <cell r="AZ28">
            <v>2409239.36</v>
          </cell>
          <cell r="BA28">
            <v>985189.61</v>
          </cell>
          <cell r="BB28">
            <v>5317273.24</v>
          </cell>
          <cell r="BC28">
            <v>1581038.1400000001</v>
          </cell>
          <cell r="BD28">
            <v>6898311.3800000008</v>
          </cell>
          <cell r="BE28">
            <v>-196387.13999999873</v>
          </cell>
          <cell r="BF28">
            <v>-2.7680829487874945</v>
          </cell>
          <cell r="BG28">
            <v>717355.25</v>
          </cell>
          <cell r="BH28">
            <v>90339.79</v>
          </cell>
          <cell r="BI28">
            <v>102113.13</v>
          </cell>
          <cell r="BJ28">
            <v>260714.86</v>
          </cell>
          <cell r="BK28">
            <v>169667.99</v>
          </cell>
          <cell r="BL28">
            <v>351054.64999999997</v>
          </cell>
          <cell r="BM28">
            <v>271781.12</v>
          </cell>
          <cell r="BN28">
            <v>622835.77</v>
          </cell>
          <cell r="BO28">
            <v>-94519.479999999981</v>
          </cell>
          <cell r="BP28">
            <v>-13.176104865755145</v>
          </cell>
          <cell r="BQ28">
            <v>10391323.74</v>
          </cell>
          <cell r="BR28">
            <v>2881589.19</v>
          </cell>
          <cell r="BS28">
            <v>6786067.1399999997</v>
          </cell>
          <cell r="BT28">
            <v>9667656.3300000001</v>
          </cell>
          <cell r="BU28">
            <v>-723667.41000000015</v>
          </cell>
          <cell r="BV28">
            <v>-6.9641503633876791</v>
          </cell>
          <cell r="BW28">
            <v>662264.93000000005</v>
          </cell>
          <cell r="BX28">
            <v>236664.94</v>
          </cell>
          <cell r="BY28">
            <v>549392.56000000006</v>
          </cell>
          <cell r="BZ28">
            <v>786057.5</v>
          </cell>
          <cell r="CA28">
            <v>123792.56999999995</v>
          </cell>
          <cell r="CB28">
            <v>18.692303395863032</v>
          </cell>
          <cell r="CC28">
            <v>18865642.439999998</v>
          </cell>
          <cell r="CD28">
            <v>6116627.7999999998</v>
          </cell>
          <cell r="CE28">
            <v>697961.66</v>
          </cell>
          <cell r="CF28">
            <v>10005413.92</v>
          </cell>
          <cell r="CG28">
            <v>1154857.6000000001</v>
          </cell>
          <cell r="CH28">
            <v>16122041.75</v>
          </cell>
          <cell r="CI28">
            <v>-7.274524720736963</v>
          </cell>
          <cell r="CJ28">
            <v>1852819.2600000002</v>
          </cell>
          <cell r="CK28">
            <v>25.292940953569726</v>
          </cell>
          <cell r="CL28">
            <v>17974861.010000002</v>
          </cell>
        </row>
        <row r="29">
          <cell r="AV29" t="str">
            <v>ES</v>
          </cell>
          <cell r="AW29">
            <v>1856833.17</v>
          </cell>
          <cell r="AX29">
            <v>956582.38</v>
          </cell>
          <cell r="AY29">
            <v>70567.42</v>
          </cell>
          <cell r="AZ29">
            <v>535201.41</v>
          </cell>
          <cell r="BA29">
            <v>112846.18</v>
          </cell>
          <cell r="BB29">
            <v>1491783.79</v>
          </cell>
          <cell r="BC29">
            <v>183413.59999999998</v>
          </cell>
          <cell r="BD29">
            <v>1675197.3900000001</v>
          </cell>
          <cell r="BE29">
            <v>-181635.7799999998</v>
          </cell>
          <cell r="BF29">
            <v>-9.7820193507206561</v>
          </cell>
          <cell r="BG29">
            <v>132493.87</v>
          </cell>
          <cell r="BH29">
            <v>26958.5</v>
          </cell>
          <cell r="BI29">
            <v>12009.11</v>
          </cell>
          <cell r="BJ29">
            <v>64103.53</v>
          </cell>
          <cell r="BK29">
            <v>17489.5</v>
          </cell>
          <cell r="BL29">
            <v>91062.03</v>
          </cell>
          <cell r="BM29">
            <v>29498.61</v>
          </cell>
          <cell r="BN29">
            <v>120560.64</v>
          </cell>
          <cell r="BO29">
            <v>-11933.229999999996</v>
          </cell>
          <cell r="BP29">
            <v>-9.0066280047522174</v>
          </cell>
          <cell r="BQ29">
            <v>1691253.7</v>
          </cell>
          <cell r="BR29">
            <v>488306.03</v>
          </cell>
          <cell r="BS29">
            <v>1130848.3400000001</v>
          </cell>
          <cell r="BT29">
            <v>1619154.37</v>
          </cell>
          <cell r="BU29">
            <v>-72099.329999999842</v>
          </cell>
          <cell r="BV29">
            <v>-4.2630700527070449</v>
          </cell>
          <cell r="BW29">
            <v>174003.37</v>
          </cell>
          <cell r="BX29">
            <v>36071.97</v>
          </cell>
          <cell r="BY29">
            <v>105539.35</v>
          </cell>
          <cell r="BZ29">
            <v>141611.32</v>
          </cell>
          <cell r="CA29">
            <v>-32392.049999999988</v>
          </cell>
          <cell r="CB29">
            <v>-18.615760143036304</v>
          </cell>
          <cell r="CC29">
            <v>3854584.1100000003</v>
          </cell>
          <cell r="CD29">
            <v>1507918.8800000001</v>
          </cell>
          <cell r="CE29">
            <v>82576.53</v>
          </cell>
          <cell r="CF29">
            <v>1835692.6300000004</v>
          </cell>
          <cell r="CG29">
            <v>130335.67999999999</v>
          </cell>
          <cell r="CH29">
            <v>3343611.5100000007</v>
          </cell>
          <cell r="CI29">
            <v>-8.4962571127009596</v>
          </cell>
          <cell r="CJ29">
            <v>212912.21</v>
          </cell>
          <cell r="CK29">
            <v>6.1835480688169611</v>
          </cell>
          <cell r="CL29">
            <v>3556523.7200000007</v>
          </cell>
        </row>
        <row r="30">
          <cell r="AV30" t="str">
            <v>MG</v>
          </cell>
          <cell r="AW30">
            <v>6186551.7400000002</v>
          </cell>
          <cell r="AX30">
            <v>2996648.32</v>
          </cell>
          <cell r="AY30">
            <v>577715.57999999996</v>
          </cell>
          <cell r="AZ30">
            <v>1967351.28</v>
          </cell>
          <cell r="BA30">
            <v>595111.18000000005</v>
          </cell>
          <cell r="BB30">
            <v>4963999.5999999996</v>
          </cell>
          <cell r="BC30">
            <v>1172826.76</v>
          </cell>
          <cell r="BD30">
            <v>6136826.3599999994</v>
          </cell>
          <cell r="BE30">
            <v>-49725.38000000082</v>
          </cell>
          <cell r="BF30">
            <v>-0.80376568547054317</v>
          </cell>
          <cell r="BG30">
            <v>537077.49</v>
          </cell>
          <cell r="BH30">
            <v>69073.17</v>
          </cell>
          <cell r="BI30">
            <v>95257.79</v>
          </cell>
          <cell r="BJ30">
            <v>204428.14</v>
          </cell>
          <cell r="BK30">
            <v>131846.95000000001</v>
          </cell>
          <cell r="BL30">
            <v>273501.31</v>
          </cell>
          <cell r="BM30">
            <v>227104.74</v>
          </cell>
          <cell r="BN30">
            <v>500606.05</v>
          </cell>
          <cell r="BO30">
            <v>-36471.440000000002</v>
          </cell>
          <cell r="BP30">
            <v>-6.7907221358318335</v>
          </cell>
          <cell r="BQ30">
            <v>5744310.6299999999</v>
          </cell>
          <cell r="BR30">
            <v>1778864.34</v>
          </cell>
          <cell r="BS30">
            <v>3918767.75</v>
          </cell>
          <cell r="BT30">
            <v>5697632.0899999999</v>
          </cell>
          <cell r="BU30">
            <v>-46678.540000000037</v>
          </cell>
          <cell r="BV30">
            <v>-0.8126047319972326</v>
          </cell>
          <cell r="BW30">
            <v>632570.54</v>
          </cell>
          <cell r="BX30">
            <v>205327.75</v>
          </cell>
          <cell r="BY30">
            <v>444609.94</v>
          </cell>
          <cell r="BZ30">
            <v>649937.68999999994</v>
          </cell>
          <cell r="CA30">
            <v>17367.149999999907</v>
          </cell>
          <cell r="CB30">
            <v>2.7454882739243449</v>
          </cell>
          <cell r="CC30">
            <v>13100510.399999999</v>
          </cell>
          <cell r="CD30">
            <v>5049913.58</v>
          </cell>
          <cell r="CE30">
            <v>672973.37</v>
          </cell>
          <cell r="CF30">
            <v>6535157.1100000003</v>
          </cell>
          <cell r="CG30">
            <v>726958.13000000012</v>
          </cell>
          <cell r="CH30">
            <v>11585070.690000001</v>
          </cell>
          <cell r="CI30">
            <v>-5.5624307081300941</v>
          </cell>
          <cell r="CJ30">
            <v>1399931.5</v>
          </cell>
          <cell r="CK30">
            <v>68.044491331685037</v>
          </cell>
          <cell r="CL30">
            <v>12985002.190000001</v>
          </cell>
        </row>
        <row r="31">
          <cell r="AV31" t="str">
            <v>RJ</v>
          </cell>
          <cell r="AW31">
            <v>6209839.5</v>
          </cell>
          <cell r="AX31">
            <v>2997756.3</v>
          </cell>
          <cell r="AY31">
            <v>562824.21</v>
          </cell>
          <cell r="AZ31">
            <v>1987025.36</v>
          </cell>
          <cell r="BA31">
            <v>815225.15</v>
          </cell>
          <cell r="BB31">
            <v>4984781.66</v>
          </cell>
          <cell r="BC31">
            <v>1378049.3599999999</v>
          </cell>
          <cell r="BD31">
            <v>6362831.0199999996</v>
          </cell>
          <cell r="BE31">
            <v>152991.51999999955</v>
          </cell>
          <cell r="BF31">
            <v>2.4636952372118404</v>
          </cell>
          <cell r="BG31">
            <v>804555.86</v>
          </cell>
          <cell r="BH31">
            <v>118130.01</v>
          </cell>
          <cell r="BI31">
            <v>118697.66</v>
          </cell>
          <cell r="BJ31">
            <v>277496.93</v>
          </cell>
          <cell r="BK31">
            <v>170116.22</v>
          </cell>
          <cell r="BL31">
            <v>395626.94</v>
          </cell>
          <cell r="BM31">
            <v>288813.88</v>
          </cell>
          <cell r="BN31">
            <v>684440.82000000007</v>
          </cell>
          <cell r="BO31">
            <v>-120115.03999999992</v>
          </cell>
          <cell r="BP31">
            <v>-14.92935990796213</v>
          </cell>
          <cell r="BQ31">
            <v>6247556.6200000001</v>
          </cell>
          <cell r="BR31">
            <v>1907753.09</v>
          </cell>
          <cell r="BS31">
            <v>4204527.01</v>
          </cell>
          <cell r="BT31">
            <v>6112280.0999999996</v>
          </cell>
          <cell r="BU31">
            <v>-135276.52000000048</v>
          </cell>
          <cell r="BV31">
            <v>-2.165270812703743</v>
          </cell>
          <cell r="BW31">
            <v>652996.89</v>
          </cell>
          <cell r="BX31">
            <v>173935.82</v>
          </cell>
          <cell r="BY31">
            <v>420488.21</v>
          </cell>
          <cell r="BZ31">
            <v>594424.03</v>
          </cell>
          <cell r="CA31">
            <v>-58572.859999999986</v>
          </cell>
          <cell r="CB31">
            <v>-8.9698528273235691</v>
          </cell>
          <cell r="CC31">
            <v>13914948.870000001</v>
          </cell>
          <cell r="CD31">
            <v>5197575.22</v>
          </cell>
          <cell r="CE31">
            <v>681521.87</v>
          </cell>
          <cell r="CF31">
            <v>6889537.5099999998</v>
          </cell>
          <cell r="CG31">
            <v>985341.37</v>
          </cell>
          <cell r="CH31">
            <v>12087112.73</v>
          </cell>
          <cell r="CI31">
            <v>-3.5012497772943192</v>
          </cell>
          <cell r="CJ31">
            <v>1666863.24</v>
          </cell>
          <cell r="CK31">
            <v>19.980260296324161</v>
          </cell>
          <cell r="CL31">
            <v>13753975.970000001</v>
          </cell>
        </row>
        <row r="32">
          <cell r="AV32" t="str">
            <v>SP</v>
          </cell>
          <cell r="AW32">
            <v>23673523.079999998</v>
          </cell>
          <cell r="AX32">
            <v>11313322.609999999</v>
          </cell>
          <cell r="AY32">
            <v>2346810.34</v>
          </cell>
          <cell r="AZ32">
            <v>6725802.6600000001</v>
          </cell>
          <cell r="BA32">
            <v>2999756.04</v>
          </cell>
          <cell r="BB32">
            <v>18039125.27</v>
          </cell>
          <cell r="BC32">
            <v>5346566.38</v>
          </cell>
          <cell r="BD32">
            <v>23385691.649999999</v>
          </cell>
          <cell r="BE32">
            <v>-287831.4299999997</v>
          </cell>
          <cell r="BF32">
            <v>-1.2158369036468724</v>
          </cell>
          <cell r="BG32">
            <v>1921746.68</v>
          </cell>
          <cell r="BH32">
            <v>356486.98</v>
          </cell>
          <cell r="BI32">
            <v>435360.14</v>
          </cell>
          <cell r="BJ32">
            <v>1108250.23</v>
          </cell>
          <cell r="BK32">
            <v>250875.62</v>
          </cell>
          <cell r="BL32">
            <v>1464737.21</v>
          </cell>
          <cell r="BM32">
            <v>686235.76</v>
          </cell>
          <cell r="BN32">
            <v>2150972.9699999997</v>
          </cell>
          <cell r="BO32">
            <v>229226.2899999998</v>
          </cell>
          <cell r="BP32">
            <v>11.928018004953692</v>
          </cell>
          <cell r="BQ32">
            <v>34227213.020000003</v>
          </cell>
          <cell r="BR32">
            <v>9527550.4199999999</v>
          </cell>
          <cell r="BS32">
            <v>21454303.129999999</v>
          </cell>
          <cell r="BT32">
            <v>30981853.549999997</v>
          </cell>
          <cell r="BU32">
            <v>-3245359.4700000063</v>
          </cell>
          <cell r="BV32">
            <v>-9.481810476662659</v>
          </cell>
          <cell r="BW32">
            <v>2575530.9700000002</v>
          </cell>
          <cell r="BX32">
            <v>952337.81</v>
          </cell>
          <cell r="BY32">
            <v>1962319.86</v>
          </cell>
          <cell r="BZ32">
            <v>2914657.67</v>
          </cell>
          <cell r="CA32">
            <v>339126.69999999972</v>
          </cell>
          <cell r="CB32">
            <v>13.167253818733919</v>
          </cell>
          <cell r="CC32">
            <v>62398013.75</v>
          </cell>
          <cell r="CD32">
            <v>22149697.819999997</v>
          </cell>
          <cell r="CE32">
            <v>2782170.48</v>
          </cell>
          <cell r="CF32">
            <v>31250675.879999999</v>
          </cell>
          <cell r="CG32">
            <v>3250631.66</v>
          </cell>
          <cell r="CH32">
            <v>53400373.699999996</v>
          </cell>
          <cell r="CI32">
            <v>-6.925931932169533</v>
          </cell>
          <cell r="CJ32">
            <v>6032802.1400000006</v>
          </cell>
          <cell r="CK32">
            <v>20.080818295150934</v>
          </cell>
          <cell r="CL32">
            <v>59433175.839999996</v>
          </cell>
        </row>
        <row r="33">
          <cell r="AV33" t="str">
            <v>Soma (SE)</v>
          </cell>
          <cell r="AW33">
            <v>37926747.490000002</v>
          </cell>
          <cell r="AX33">
            <v>18264309.600000001</v>
          </cell>
          <cell r="AY33">
            <v>3557917.54</v>
          </cell>
          <cell r="AZ33">
            <v>11215380.699999999</v>
          </cell>
          <cell r="BA33">
            <v>4522938.55</v>
          </cell>
          <cell r="BB33">
            <v>29479690.300000001</v>
          </cell>
          <cell r="BC33">
            <v>8080856.0899999999</v>
          </cell>
          <cell r="BD33">
            <v>37560546.390000001</v>
          </cell>
          <cell r="BE33">
            <v>-366201.10000000149</v>
          </cell>
          <cell r="BF33">
            <v>-0.9655483906089134</v>
          </cell>
          <cell r="BG33">
            <v>3395873.9</v>
          </cell>
          <cell r="BH33">
            <v>570648.66</v>
          </cell>
          <cell r="BI33">
            <v>661324.69999999995</v>
          </cell>
          <cell r="BJ33">
            <v>1654278.82</v>
          </cell>
          <cell r="BK33">
            <v>570328.30000000005</v>
          </cell>
          <cell r="BL33">
            <v>2224927.48</v>
          </cell>
          <cell r="BM33">
            <v>1231653</v>
          </cell>
          <cell r="BN33">
            <v>3456580.48</v>
          </cell>
          <cell r="BO33">
            <v>60706.580000000075</v>
          </cell>
          <cell r="BP33">
            <v>1.7876570740745137</v>
          </cell>
          <cell r="BQ33">
            <v>47910333.969999999</v>
          </cell>
          <cell r="BR33">
            <v>13702473.890000001</v>
          </cell>
          <cell r="BS33">
            <v>30708446.219999999</v>
          </cell>
          <cell r="BT33">
            <v>44410920.109999999</v>
          </cell>
          <cell r="BU33">
            <v>-3499413.8599999994</v>
          </cell>
          <cell r="BV33">
            <v>-7.3040898904842253</v>
          </cell>
          <cell r="BW33">
            <v>4035101.77</v>
          </cell>
          <cell r="BX33">
            <v>1367673.35</v>
          </cell>
          <cell r="BY33">
            <v>2932957.36</v>
          </cell>
          <cell r="BZ33">
            <v>4300630.71</v>
          </cell>
          <cell r="CA33">
            <v>265528.93999999994</v>
          </cell>
          <cell r="CB33">
            <v>6.5804769033124026</v>
          </cell>
          <cell r="CC33">
            <v>93268057.129999995</v>
          </cell>
          <cell r="CD33">
            <v>33905105.5</v>
          </cell>
          <cell r="CE33">
            <v>4219242.24</v>
          </cell>
          <cell r="CF33">
            <v>46511063.099999994</v>
          </cell>
          <cell r="CG33">
            <v>5093266.8499999996</v>
          </cell>
          <cell r="CH33">
            <v>80416168.599999994</v>
          </cell>
          <cell r="CI33">
            <v>-6.2980568389493783</v>
          </cell>
          <cell r="CJ33">
            <v>9312509.0899999999</v>
          </cell>
          <cell r="CK33">
            <v>25.053532541636798</v>
          </cell>
          <cell r="CL33">
            <v>89728677.689999998</v>
          </cell>
        </row>
        <row r="34">
          <cell r="AV34" t="str">
            <v>PR</v>
          </cell>
          <cell r="AW34">
            <v>4811466.6399999997</v>
          </cell>
          <cell r="AX34">
            <v>2537824.25</v>
          </cell>
          <cell r="AY34">
            <v>405179.38</v>
          </cell>
          <cell r="AZ34">
            <v>1569268.77</v>
          </cell>
          <cell r="BA34">
            <v>370574.9</v>
          </cell>
          <cell r="BB34">
            <v>4107093.02</v>
          </cell>
          <cell r="BC34">
            <v>775754.28</v>
          </cell>
          <cell r="BD34">
            <v>4882847.3</v>
          </cell>
          <cell r="BE34">
            <v>71380.660000000149</v>
          </cell>
          <cell r="BF34">
            <v>1.4835530481824177</v>
          </cell>
          <cell r="BG34">
            <v>619869.56000000006</v>
          </cell>
          <cell r="BH34">
            <v>85966.12</v>
          </cell>
          <cell r="BI34">
            <v>100801.18</v>
          </cell>
          <cell r="BJ34">
            <v>364196.62</v>
          </cell>
          <cell r="BK34">
            <v>112709.96</v>
          </cell>
          <cell r="BL34">
            <v>450162.74</v>
          </cell>
          <cell r="BM34">
            <v>213511.14</v>
          </cell>
          <cell r="BN34">
            <v>663673.88</v>
          </cell>
          <cell r="BO34">
            <v>43804.319999999949</v>
          </cell>
          <cell r="BP34">
            <v>7.0666996456480211</v>
          </cell>
          <cell r="BQ34">
            <v>7094471.1500000004</v>
          </cell>
          <cell r="BR34">
            <v>1968826.42</v>
          </cell>
          <cell r="BS34">
            <v>4864111.9000000004</v>
          </cell>
          <cell r="BT34">
            <v>6832938.3200000003</v>
          </cell>
          <cell r="BU34">
            <v>-261532.83000000007</v>
          </cell>
          <cell r="BV34">
            <v>-3.6864316517799929</v>
          </cell>
          <cell r="BW34">
            <v>470973.5</v>
          </cell>
          <cell r="BX34">
            <v>153242.35999999999</v>
          </cell>
          <cell r="BY34">
            <v>317446.86</v>
          </cell>
          <cell r="BZ34">
            <v>470689.22</v>
          </cell>
          <cell r="CA34">
            <v>-284.28000000002794</v>
          </cell>
          <cell r="CB34">
            <v>-6.0360083953774034E-2</v>
          </cell>
          <cell r="CC34">
            <v>12996780.85</v>
          </cell>
          <cell r="CD34">
            <v>4745859.1500000004</v>
          </cell>
          <cell r="CE34">
            <v>505980.56</v>
          </cell>
          <cell r="CF34">
            <v>7115024.1500000013</v>
          </cell>
          <cell r="CG34">
            <v>483284.86000000004</v>
          </cell>
          <cell r="CH34">
            <v>11860883.300000001</v>
          </cell>
          <cell r="CI34">
            <v>-3.1393860562724569</v>
          </cell>
          <cell r="CJ34">
            <v>989265.42</v>
          </cell>
          <cell r="CK34">
            <v>31.644038794470561</v>
          </cell>
          <cell r="CL34">
            <v>12850148.720000001</v>
          </cell>
        </row>
        <row r="35">
          <cell r="AV35" t="str">
            <v>RS</v>
          </cell>
          <cell r="AW35">
            <v>6942581.9900000002</v>
          </cell>
          <cell r="AX35">
            <v>3338905.92</v>
          </cell>
          <cell r="AY35">
            <v>520945.76</v>
          </cell>
          <cell r="AZ35">
            <v>2166608.04</v>
          </cell>
          <cell r="BA35">
            <v>847063.87</v>
          </cell>
          <cell r="BB35">
            <v>5505513.96</v>
          </cell>
          <cell r="BC35">
            <v>1368009.63</v>
          </cell>
          <cell r="BD35">
            <v>6873523.5899999999</v>
          </cell>
          <cell r="BE35">
            <v>-69058.400000000373</v>
          </cell>
          <cell r="BF35">
            <v>-0.99470773408900526</v>
          </cell>
          <cell r="BG35">
            <v>868119.5</v>
          </cell>
          <cell r="BH35">
            <v>141445.93</v>
          </cell>
          <cell r="BI35">
            <v>162472.01</v>
          </cell>
          <cell r="BJ35">
            <v>471125.91</v>
          </cell>
          <cell r="BK35">
            <v>213614.41</v>
          </cell>
          <cell r="BL35">
            <v>612571.84</v>
          </cell>
          <cell r="BM35">
            <v>376086.42000000004</v>
          </cell>
          <cell r="BN35">
            <v>988658.26</v>
          </cell>
          <cell r="BO35">
            <v>120538.76000000001</v>
          </cell>
          <cell r="BP35">
            <v>13.885042324242228</v>
          </cell>
          <cell r="BQ35">
            <v>9724971.0999999996</v>
          </cell>
          <cell r="BR35">
            <v>2707220.34</v>
          </cell>
          <cell r="BS35">
            <v>6794853.2300000004</v>
          </cell>
          <cell r="BT35">
            <v>9502073.5700000003</v>
          </cell>
          <cell r="BU35">
            <v>-222897.52999999933</v>
          </cell>
          <cell r="BV35">
            <v>-2.292012261095556</v>
          </cell>
          <cell r="BW35">
            <v>636613.46</v>
          </cell>
          <cell r="BX35">
            <v>267932.67</v>
          </cell>
          <cell r="BY35">
            <v>457456.15</v>
          </cell>
          <cell r="BZ35">
            <v>725388.82000000007</v>
          </cell>
          <cell r="CA35">
            <v>88775.360000000102</v>
          </cell>
          <cell r="CB35">
            <v>13.94493921005065</v>
          </cell>
          <cell r="CC35">
            <v>18172286.050000001</v>
          </cell>
          <cell r="CD35">
            <v>6455504.8599999994</v>
          </cell>
          <cell r="CE35">
            <v>683417.77</v>
          </cell>
          <cell r="CF35">
            <v>9890043.3300000001</v>
          </cell>
          <cell r="CG35">
            <v>1060678.28</v>
          </cell>
          <cell r="CH35">
            <v>16345548.189999999</v>
          </cell>
          <cell r="CI35">
            <v>-1.2469941457121223</v>
          </cell>
          <cell r="CJ35">
            <v>1744096.05</v>
          </cell>
          <cell r="CK35">
            <v>7.6379243092918614</v>
          </cell>
          <cell r="CL35">
            <v>18089644.239999998</v>
          </cell>
        </row>
        <row r="36">
          <cell r="AV36" t="str">
            <v>SC</v>
          </cell>
          <cell r="AW36">
            <v>4633357.54</v>
          </cell>
          <cell r="AX36">
            <v>2293243.86</v>
          </cell>
          <cell r="AY36">
            <v>543624.06000000006</v>
          </cell>
          <cell r="AZ36">
            <v>1155653.2</v>
          </cell>
          <cell r="BA36">
            <v>456191.06</v>
          </cell>
          <cell r="BB36">
            <v>3448897.0599999996</v>
          </cell>
          <cell r="BC36">
            <v>999815.12000000011</v>
          </cell>
          <cell r="BD36">
            <v>4448712.18</v>
          </cell>
          <cell r="BE36">
            <v>-184645.36000000034</v>
          </cell>
          <cell r="BF36">
            <v>-3.9851308345179062</v>
          </cell>
          <cell r="BG36">
            <v>567228.97</v>
          </cell>
          <cell r="BH36">
            <v>66082.58</v>
          </cell>
          <cell r="BI36">
            <v>93322.48</v>
          </cell>
          <cell r="BJ36">
            <v>285062.90000000002</v>
          </cell>
          <cell r="BK36">
            <v>122380.81</v>
          </cell>
          <cell r="BL36">
            <v>351145.48000000004</v>
          </cell>
          <cell r="BM36">
            <v>215703.28999999998</v>
          </cell>
          <cell r="BN36">
            <v>566848.77</v>
          </cell>
          <cell r="BO36">
            <v>-380.19999999995343</v>
          </cell>
          <cell r="BP36">
            <v>-6.7027606153464522E-2</v>
          </cell>
          <cell r="BQ36">
            <v>5982961.4000000004</v>
          </cell>
          <cell r="BR36">
            <v>1677730.57</v>
          </cell>
          <cell r="BS36">
            <v>4201517.3499999996</v>
          </cell>
          <cell r="BT36">
            <v>5879247.9199999999</v>
          </cell>
          <cell r="BU36">
            <v>-103713.48000000045</v>
          </cell>
          <cell r="BV36">
            <v>-1.73348068065424</v>
          </cell>
          <cell r="BW36">
            <v>334647.55</v>
          </cell>
          <cell r="BX36">
            <v>185353.9</v>
          </cell>
          <cell r="BY36">
            <v>338534.01</v>
          </cell>
          <cell r="BZ36">
            <v>523887.91000000003</v>
          </cell>
          <cell r="CA36">
            <v>189240.36000000004</v>
          </cell>
          <cell r="CB36">
            <v>56.549154476104803</v>
          </cell>
          <cell r="CC36">
            <v>11518195.460000001</v>
          </cell>
          <cell r="CD36">
            <v>4222410.91</v>
          </cell>
          <cell r="CE36">
            <v>636946.54</v>
          </cell>
          <cell r="CF36">
            <v>5980767.459999999</v>
          </cell>
          <cell r="CG36">
            <v>578571.87</v>
          </cell>
          <cell r="CH36">
            <v>10203178.369999999</v>
          </cell>
          <cell r="CI36">
            <v>-3.9364286332196343</v>
          </cell>
          <cell r="CJ36">
            <v>1215518.4100000001</v>
          </cell>
          <cell r="CK36">
            <v>35.521675290568339</v>
          </cell>
          <cell r="CL36">
            <v>11418696.779999999</v>
          </cell>
        </row>
        <row r="38">
          <cell r="BB38">
            <v>58366719.010000005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4">
          <cell r="A4" t="str">
            <v>RR</v>
          </cell>
          <cell r="B4">
            <v>1110325.2599999998</v>
          </cell>
          <cell r="C4">
            <v>1110325.2599999998</v>
          </cell>
        </row>
        <row r="5">
          <cell r="A5" t="str">
            <v>AC</v>
          </cell>
          <cell r="B5">
            <v>801842.1399999999</v>
          </cell>
          <cell r="C5">
            <v>801842.1399999999</v>
          </cell>
        </row>
        <row r="6">
          <cell r="A6" t="str">
            <v>AP</v>
          </cell>
          <cell r="B6">
            <v>695837.71900000004</v>
          </cell>
          <cell r="C6">
            <v>695837.71900000004</v>
          </cell>
        </row>
        <row r="7">
          <cell r="A7" t="str">
            <v>TO</v>
          </cell>
          <cell r="B7">
            <v>473379.53900000005</v>
          </cell>
          <cell r="C7">
            <v>473379.53900000005</v>
          </cell>
        </row>
        <row r="8">
          <cell r="A8" t="str">
            <v>PI</v>
          </cell>
          <cell r="B8">
            <v>203702.21900000016</v>
          </cell>
          <cell r="C8">
            <v>203702.21900000016</v>
          </cell>
        </row>
        <row r="9">
          <cell r="A9" t="str">
            <v>Sub Total</v>
          </cell>
          <cell r="B9">
            <v>3285086.8769999999</v>
          </cell>
          <cell r="C9">
            <v>3285086.8769999999</v>
          </cell>
        </row>
        <row r="10">
          <cell r="A10" t="str">
            <v>Gestão do Fundo de Apoio (10%)³</v>
          </cell>
          <cell r="B10">
            <v>143681.25170000008</v>
          </cell>
          <cell r="C10">
            <v>143681.25170000008</v>
          </cell>
        </row>
        <row r="11">
          <cell r="A11" t="str">
            <v>Total 1</v>
          </cell>
          <cell r="B11">
            <v>3428768.1286999998</v>
          </cell>
          <cell r="C11">
            <v>3428768.1286999998</v>
          </cell>
        </row>
        <row r="12">
          <cell r="A12" t="str">
            <v>SE</v>
          </cell>
          <cell r="B12">
            <v>136294.87</v>
          </cell>
          <cell r="C12">
            <v>136294.87</v>
          </cell>
        </row>
        <row r="13">
          <cell r="A13" t="str">
            <v>MA</v>
          </cell>
          <cell r="B13">
            <v>148803.84</v>
          </cell>
          <cell r="C13">
            <v>148803.84</v>
          </cell>
        </row>
        <row r="14">
          <cell r="A14" t="str">
            <v>Total 2</v>
          </cell>
          <cell r="B14">
            <v>3713866.8386999997</v>
          </cell>
          <cell r="C14">
            <v>3713866.8386999997</v>
          </cell>
        </row>
        <row r="16">
          <cell r="A16" t="str">
            <v>Total do Fundo de Apoio Programação 2023</v>
          </cell>
          <cell r="C16">
            <v>3713866.8386999997</v>
          </cell>
        </row>
        <row r="17">
          <cell r="A17" t="str">
            <v>Utilização de Saldo do Fundo de Apoio (a)</v>
          </cell>
          <cell r="C17">
            <v>600000</v>
          </cell>
        </row>
        <row r="18">
          <cell r="A18" t="str">
            <v>Necessidades de Novos Aportes em 2023</v>
          </cell>
          <cell r="C18">
            <v>3113866.8386999997</v>
          </cell>
        </row>
        <row r="20">
          <cell r="C20" t="str">
            <v>CAU em Transição</v>
          </cell>
        </row>
        <row r="21">
          <cell r="A21" t="str">
            <v>CAU/UF</v>
          </cell>
          <cell r="B21" t="str">
            <v>Valor Total dos Recursos do Fundo Programação 2023</v>
          </cell>
          <cell r="C21" t="str">
            <v xml:space="preserve">Valor Total dos Recursos do Fundo Reprogramação 2023
</v>
          </cell>
        </row>
        <row r="22">
          <cell r="A22" t="str">
            <v>AL</v>
          </cell>
          <cell r="B22">
            <v>158255.79</v>
          </cell>
          <cell r="C22">
            <v>158255.79</v>
          </cell>
        </row>
        <row r="23">
          <cell r="A23" t="str">
            <v>RO</v>
          </cell>
          <cell r="B23">
            <v>148054.65999999997</v>
          </cell>
          <cell r="C23">
            <v>148054.65999999997</v>
          </cell>
        </row>
        <row r="24">
          <cell r="C24">
            <v>306310.44999999995</v>
          </cell>
        </row>
      </sheetData>
      <sheetData sheetId="17">
        <row r="4">
          <cell r="A4" t="str">
            <v>RR</v>
          </cell>
          <cell r="B4">
            <v>3279.3750827216782</v>
          </cell>
          <cell r="C4">
            <v>1366.406284467366</v>
          </cell>
        </row>
        <row r="5">
          <cell r="A5" t="str">
            <v>AC</v>
          </cell>
          <cell r="B5">
            <v>7849.5067972020006</v>
          </cell>
          <cell r="C5">
            <v>3270.6278321674999</v>
          </cell>
        </row>
        <row r="6">
          <cell r="A6" t="str">
            <v>AP</v>
          </cell>
          <cell r="B6">
            <v>10183.268192807071</v>
          </cell>
          <cell r="C6">
            <v>4243.0284136696127</v>
          </cell>
        </row>
        <row r="7">
          <cell r="A7" t="str">
            <v>TO</v>
          </cell>
          <cell r="B7">
            <v>13391.318819386348</v>
          </cell>
          <cell r="C7">
            <v>5579.7161747443115</v>
          </cell>
        </row>
        <row r="8">
          <cell r="A8" t="str">
            <v>PI</v>
          </cell>
          <cell r="B8">
            <v>17475.332981626962</v>
          </cell>
          <cell r="C8">
            <v>7281.3887423445667</v>
          </cell>
        </row>
        <row r="9">
          <cell r="A9" t="str">
            <v>SE</v>
          </cell>
          <cell r="B9">
            <v>19175.029705362474</v>
          </cell>
          <cell r="C9">
            <v>7989.5957105676971</v>
          </cell>
        </row>
        <row r="10">
          <cell r="A10" t="str">
            <v>MA</v>
          </cell>
          <cell r="B10">
            <v>20414.656619415884</v>
          </cell>
          <cell r="C10">
            <v>8506.1069247566193</v>
          </cell>
        </row>
        <row r="11">
          <cell r="A11" t="str">
            <v>RO</v>
          </cell>
          <cell r="B11">
            <v>20687.616089652533</v>
          </cell>
          <cell r="C11">
            <v>20687.616089652533</v>
          </cell>
        </row>
        <row r="12">
          <cell r="A12" t="str">
            <v>AL</v>
          </cell>
          <cell r="B12">
            <v>22219.208575567471</v>
          </cell>
          <cell r="C12">
            <v>22219.208575567471</v>
          </cell>
        </row>
        <row r="13">
          <cell r="A13" t="str">
            <v>AM</v>
          </cell>
          <cell r="B13">
            <v>23807.250852452125</v>
          </cell>
          <cell r="C13">
            <v>23807.250852452125</v>
          </cell>
        </row>
        <row r="14">
          <cell r="A14" t="str">
            <v>RN</v>
          </cell>
          <cell r="B14">
            <v>29094.220065612964</v>
          </cell>
          <cell r="C14">
            <v>29094.220065612964</v>
          </cell>
        </row>
        <row r="15">
          <cell r="A15" t="str">
            <v>PA</v>
          </cell>
          <cell r="B15">
            <v>31114.72364474017</v>
          </cell>
          <cell r="C15">
            <v>31114.72364474017</v>
          </cell>
        </row>
        <row r="16">
          <cell r="A16" t="str">
            <v>PB</v>
          </cell>
          <cell r="B16">
            <v>31839.548451415096</v>
          </cell>
          <cell r="C16">
            <v>31839.548451415096</v>
          </cell>
        </row>
        <row r="17">
          <cell r="A17" t="str">
            <v>CE</v>
          </cell>
          <cell r="B17">
            <v>41570.892229057492</v>
          </cell>
          <cell r="C17">
            <v>41570.892229057492</v>
          </cell>
        </row>
        <row r="18">
          <cell r="A18" t="str">
            <v>ES</v>
          </cell>
          <cell r="B18">
            <v>51061.489925045076</v>
          </cell>
          <cell r="C18">
            <v>51061.489925045076</v>
          </cell>
        </row>
        <row r="19">
          <cell r="A19" t="str">
            <v>MS</v>
          </cell>
          <cell r="B19">
            <v>51608.825125193689</v>
          </cell>
          <cell r="C19">
            <v>51608.825125193689</v>
          </cell>
        </row>
        <row r="20">
          <cell r="A20" t="str">
            <v>PE</v>
          </cell>
          <cell r="B20">
            <v>60836.584012120846</v>
          </cell>
          <cell r="C20">
            <v>60836.584012120846</v>
          </cell>
        </row>
        <row r="21">
          <cell r="A21" t="str">
            <v>DF</v>
          </cell>
          <cell r="B21">
            <v>62772.108479586139</v>
          </cell>
          <cell r="C21">
            <v>62772.108479586139</v>
          </cell>
        </row>
        <row r="22">
          <cell r="A22" t="str">
            <v>BA</v>
          </cell>
          <cell r="B22">
            <v>63933.47699640358</v>
          </cell>
          <cell r="C22">
            <v>63933.47699640358</v>
          </cell>
        </row>
        <row r="23">
          <cell r="A23" t="str">
            <v>MT</v>
          </cell>
          <cell r="B23">
            <v>69018.741794943315</v>
          </cell>
          <cell r="C23">
            <v>69018.741794943315</v>
          </cell>
        </row>
        <row r="24">
          <cell r="A24" t="str">
            <v>GO</v>
          </cell>
          <cell r="B24">
            <v>71888.610308980627</v>
          </cell>
          <cell r="C24">
            <v>71888.610308980627</v>
          </cell>
        </row>
        <row r="25">
          <cell r="A25" t="str">
            <v>SC</v>
          </cell>
          <cell r="B25">
            <v>153332.76783598113</v>
          </cell>
          <cell r="C25">
            <v>153332.76783598113</v>
          </cell>
        </row>
        <row r="26">
          <cell r="A26" t="str">
            <v>PR</v>
          </cell>
          <cell r="B26">
            <v>176899.96729111284</v>
          </cell>
          <cell r="C26">
            <v>176899.96729111284</v>
          </cell>
        </row>
        <row r="27">
          <cell r="A27" t="str">
            <v>MG</v>
          </cell>
          <cell r="B27">
            <v>177637.14742876624</v>
          </cell>
          <cell r="C27">
            <v>177637.14742876624</v>
          </cell>
        </row>
        <row r="28">
          <cell r="A28" t="str">
            <v>RJ</v>
          </cell>
          <cell r="B28">
            <v>188789.18558898367</v>
          </cell>
          <cell r="C28">
            <v>188789.18558898367</v>
          </cell>
        </row>
        <row r="29">
          <cell r="A29" t="str">
            <v>RS</v>
          </cell>
          <cell r="B29">
            <v>240136.57118814671</v>
          </cell>
          <cell r="C29">
            <v>240136.57118814671</v>
          </cell>
        </row>
        <row r="30">
          <cell r="A30" t="str">
            <v>SP</v>
          </cell>
          <cell r="B30">
            <v>831076.04685055313</v>
          </cell>
          <cell r="C30">
            <v>831076.04685055313</v>
          </cell>
        </row>
        <row r="31">
          <cell r="C31">
            <v>2437561.8528170325</v>
          </cell>
        </row>
      </sheetData>
      <sheetData sheetId="18">
        <row r="3">
          <cell r="A3" t="str">
            <v>AC</v>
          </cell>
          <cell r="B3">
            <v>48162.89</v>
          </cell>
          <cell r="C3">
            <v>64.99161581612114</v>
          </cell>
          <cell r="D3">
            <v>5332.31</v>
          </cell>
          <cell r="E3">
            <v>37248.14</v>
          </cell>
        </row>
        <row r="4">
          <cell r="A4" t="str">
            <v>AM</v>
          </cell>
          <cell r="B4">
            <v>146395.37</v>
          </cell>
          <cell r="C4">
            <v>43.674855868891967</v>
          </cell>
          <cell r="D4">
            <v>15615.29</v>
          </cell>
          <cell r="E4">
            <v>109078.39</v>
          </cell>
        </row>
        <row r="5">
          <cell r="A5" t="str">
            <v>AP</v>
          </cell>
          <cell r="B5">
            <v>61477.03</v>
          </cell>
          <cell r="C5">
            <v>2.5250695850645033</v>
          </cell>
          <cell r="D5">
            <v>6995.73</v>
          </cell>
          <cell r="E5">
            <v>48867.7</v>
          </cell>
        </row>
        <row r="6">
          <cell r="A6" t="str">
            <v>PA</v>
          </cell>
          <cell r="B6">
            <v>197457.63999999998</v>
          </cell>
          <cell r="C6">
            <v>94.611839088899359</v>
          </cell>
          <cell r="D6">
            <v>21954.33</v>
          </cell>
          <cell r="E6">
            <v>153358.82999999999</v>
          </cell>
        </row>
        <row r="7">
          <cell r="A7" t="str">
            <v>RO</v>
          </cell>
          <cell r="B7">
            <v>127214.65999999999</v>
          </cell>
          <cell r="C7">
            <v>142.32272262340655</v>
          </cell>
          <cell r="D7">
            <v>13831.31</v>
          </cell>
          <cell r="E7">
            <v>96616.63</v>
          </cell>
        </row>
        <row r="8">
          <cell r="A8" t="str">
            <v>RR</v>
          </cell>
          <cell r="B8">
            <v>20144.629999999997</v>
          </cell>
          <cell r="C8">
            <v>3.6004361468979038</v>
          </cell>
          <cell r="D8">
            <v>2395.71</v>
          </cell>
          <cell r="E8">
            <v>16734.919999999998</v>
          </cell>
        </row>
        <row r="9">
          <cell r="A9" t="str">
            <v>TO</v>
          </cell>
          <cell r="B9">
            <v>81229.429999999993</v>
          </cell>
          <cell r="C9">
            <v>181.25371460876758</v>
          </cell>
          <cell r="D9">
            <v>8273.77</v>
          </cell>
          <cell r="E9">
            <v>57795.199999999997</v>
          </cell>
        </row>
        <row r="10">
          <cell r="A10" t="str">
            <v>Soma (N)</v>
          </cell>
          <cell r="B10">
            <v>682081.64999999991</v>
          </cell>
          <cell r="C10">
            <v>532.98025373804899</v>
          </cell>
          <cell r="D10">
            <v>74398.450000000012</v>
          </cell>
          <cell r="E10">
            <v>519699.80999999994</v>
          </cell>
        </row>
        <row r="11">
          <cell r="A11" t="str">
            <v>AL</v>
          </cell>
          <cell r="B11">
            <v>139015.79</v>
          </cell>
          <cell r="C11">
            <v>177.44909493747099</v>
          </cell>
          <cell r="D11">
            <v>15815.5</v>
          </cell>
          <cell r="E11">
            <v>110476.91</v>
          </cell>
        </row>
        <row r="12">
          <cell r="A12" t="str">
            <v>BA</v>
          </cell>
          <cell r="B12">
            <v>406994.18000000005</v>
          </cell>
          <cell r="C12">
            <v>856.2095789787453</v>
          </cell>
          <cell r="D12">
            <v>47936.53</v>
          </cell>
          <cell r="E12">
            <v>334853.81</v>
          </cell>
        </row>
        <row r="13">
          <cell r="A13" t="str">
            <v>CE</v>
          </cell>
          <cell r="B13">
            <v>266082.24</v>
          </cell>
          <cell r="C13">
            <v>600.66055820345275</v>
          </cell>
          <cell r="D13">
            <v>31730.49</v>
          </cell>
          <cell r="E13">
            <v>221648.81</v>
          </cell>
        </row>
        <row r="14">
          <cell r="A14" t="str">
            <v>MA</v>
          </cell>
          <cell r="B14">
            <v>127163.84</v>
          </cell>
          <cell r="C14">
            <v>55.388184051900076</v>
          </cell>
          <cell r="D14">
            <v>15163.21</v>
          </cell>
          <cell r="E14">
            <v>105920.44</v>
          </cell>
        </row>
        <row r="15">
          <cell r="A15" t="str">
            <v>PB</v>
          </cell>
          <cell r="B15">
            <v>197090.47000000003</v>
          </cell>
          <cell r="C15">
            <v>501.5836338030017</v>
          </cell>
          <cell r="D15">
            <v>22409.33</v>
          </cell>
          <cell r="E15">
            <v>156537.24</v>
          </cell>
        </row>
        <row r="16">
          <cell r="A16" t="str">
            <v>PE</v>
          </cell>
          <cell r="B16">
            <v>375366.36</v>
          </cell>
          <cell r="C16">
            <v>774.50894474932682</v>
          </cell>
          <cell r="D16">
            <v>38131.96</v>
          </cell>
          <cell r="E16">
            <v>266365.46000000002</v>
          </cell>
        </row>
        <row r="17">
          <cell r="A17" t="str">
            <v>PI</v>
          </cell>
          <cell r="B17">
            <v>106660.37999999999</v>
          </cell>
          <cell r="C17">
            <v>9.964155990658849</v>
          </cell>
          <cell r="D17">
            <v>11255.18</v>
          </cell>
          <cell r="E17">
            <v>78621.45</v>
          </cell>
        </row>
        <row r="18">
          <cell r="A18" t="str">
            <v>RN</v>
          </cell>
          <cell r="B18">
            <v>183770.97</v>
          </cell>
          <cell r="C18">
            <v>503.14904082339217</v>
          </cell>
          <cell r="D18">
            <v>19655.439999999999</v>
          </cell>
          <cell r="E18">
            <v>137300.35</v>
          </cell>
        </row>
        <row r="19">
          <cell r="A19" t="str">
            <v>SE</v>
          </cell>
          <cell r="B19">
            <v>119054.87</v>
          </cell>
          <cell r="C19">
            <v>173.35181221453612</v>
          </cell>
          <cell r="D19">
            <v>14143.36</v>
          </cell>
          <cell r="E19">
            <v>98796.46</v>
          </cell>
        </row>
        <row r="20">
          <cell r="A20" t="str">
            <v>Soma (NE)</v>
          </cell>
          <cell r="B20">
            <v>1921199.0999999996</v>
          </cell>
          <cell r="C20">
            <v>3652.2650037524845</v>
          </cell>
          <cell r="D20">
            <v>216241</v>
          </cell>
          <cell r="E20">
            <v>1510520.93</v>
          </cell>
        </row>
        <row r="21">
          <cell r="A21" t="str">
            <v>DF</v>
          </cell>
          <cell r="B21">
            <v>395941.85000000003</v>
          </cell>
          <cell r="C21">
            <v>3244.898181979846</v>
          </cell>
          <cell r="D21">
            <v>39832.14</v>
          </cell>
          <cell r="E21">
            <v>278241.81</v>
          </cell>
        </row>
        <row r="22">
          <cell r="A22" t="str">
            <v>GO</v>
          </cell>
          <cell r="B22">
            <v>443795.90000000008</v>
          </cell>
          <cell r="C22">
            <v>882.54986617675684</v>
          </cell>
          <cell r="D22">
            <v>48371.19</v>
          </cell>
          <cell r="E22">
            <v>337890.1</v>
          </cell>
        </row>
        <row r="23">
          <cell r="A23" t="str">
            <v>MS</v>
          </cell>
          <cell r="B23">
            <v>315425.65999999997</v>
          </cell>
          <cell r="C23">
            <v>408.37385491497378</v>
          </cell>
          <cell r="D23">
            <v>32470.81</v>
          </cell>
          <cell r="E23">
            <v>226820.31</v>
          </cell>
        </row>
        <row r="24">
          <cell r="A24" t="str">
            <v>MT</v>
          </cell>
          <cell r="B24">
            <v>416212.26</v>
          </cell>
          <cell r="C24">
            <v>759.5559046458585</v>
          </cell>
          <cell r="D24">
            <v>42420.46</v>
          </cell>
          <cell r="E24">
            <v>296322.15999999997</v>
          </cell>
        </row>
        <row r="25">
          <cell r="A25" t="str">
            <v>Soma (CO)</v>
          </cell>
          <cell r="B25">
            <v>1571375.6700000002</v>
          </cell>
          <cell r="C25">
            <v>5295.3778077174347</v>
          </cell>
          <cell r="D25">
            <v>163094.6</v>
          </cell>
          <cell r="E25">
            <v>1139274.3799999999</v>
          </cell>
        </row>
        <row r="26">
          <cell r="A26" t="str">
            <v>ES</v>
          </cell>
          <cell r="B26">
            <v>301472.93</v>
          </cell>
          <cell r="C26">
            <v>457.9768391089093</v>
          </cell>
          <cell r="D26">
            <v>31305.9</v>
          </cell>
          <cell r="E26">
            <v>218682.95</v>
          </cell>
        </row>
        <row r="27">
          <cell r="A27" t="str">
            <v>MG</v>
          </cell>
          <cell r="B27">
            <v>1108402.56</v>
          </cell>
          <cell r="C27">
            <v>2271.0771914180518</v>
          </cell>
          <cell r="D27">
            <v>118036.17</v>
          </cell>
          <cell r="E27">
            <v>824524.99</v>
          </cell>
        </row>
        <row r="28">
          <cell r="A28" t="str">
            <v>RJ</v>
          </cell>
          <cell r="B28">
            <v>1228357.55</v>
          </cell>
          <cell r="C28">
            <v>5288.5473243368988</v>
          </cell>
          <cell r="D28">
            <v>131364.47</v>
          </cell>
          <cell r="E28">
            <v>917628.05</v>
          </cell>
        </row>
        <row r="29">
          <cell r="A29" t="str">
            <v>SP</v>
          </cell>
          <cell r="B29">
            <v>5212249.24</v>
          </cell>
          <cell r="C29">
            <v>35660.167532309519</v>
          </cell>
          <cell r="D29">
            <v>541534.99</v>
          </cell>
          <cell r="E29">
            <v>3782816.28</v>
          </cell>
        </row>
        <row r="30">
          <cell r="A30" t="str">
            <v>Soma (SE)</v>
          </cell>
          <cell r="B30">
            <v>7850482.2800000003</v>
          </cell>
          <cell r="C30">
            <v>43677.768887173377</v>
          </cell>
          <cell r="D30">
            <v>822241.53</v>
          </cell>
          <cell r="E30">
            <v>5743652.2699999996</v>
          </cell>
        </row>
        <row r="31">
          <cell r="A31" t="str">
            <v>PR</v>
          </cell>
          <cell r="B31">
            <v>1103718.1300000001</v>
          </cell>
          <cell r="C31">
            <v>2605.4239011952118</v>
          </cell>
          <cell r="D31">
            <v>118347.43</v>
          </cell>
          <cell r="E31">
            <v>826699.31</v>
          </cell>
        </row>
        <row r="32">
          <cell r="A32" t="str">
            <v>RS</v>
          </cell>
          <cell r="B32">
            <v>1468939.0499999998</v>
          </cell>
          <cell r="C32">
            <v>3078.1164510910635</v>
          </cell>
          <cell r="D32">
            <v>159385.95000000001</v>
          </cell>
          <cell r="E32">
            <v>1113368.07</v>
          </cell>
        </row>
        <row r="33">
          <cell r="A33" t="str">
            <v>SC</v>
          </cell>
          <cell r="B33">
            <v>932876.45000000007</v>
          </cell>
          <cell r="C33">
            <v>1158.067695332373</v>
          </cell>
          <cell r="D33">
            <v>100386.01</v>
          </cell>
          <cell r="E33">
            <v>701232.32</v>
          </cell>
        </row>
        <row r="34">
          <cell r="A34" t="str">
            <v>Soma (S)</v>
          </cell>
          <cell r="B34">
            <v>3505533.63</v>
          </cell>
          <cell r="C34">
            <v>6841.608047618648</v>
          </cell>
        </row>
        <row r="35">
          <cell r="A35" t="str">
            <v>Soma CAU/UF</v>
          </cell>
          <cell r="B35">
            <v>15530672.329999998</v>
          </cell>
          <cell r="C35">
            <v>59999.999999999993</v>
          </cell>
          <cell r="D35">
            <v>1654094.9700000002</v>
          </cell>
          <cell r="E35">
            <v>11554447.09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>
        <row r="2">
          <cell r="A2" t="str">
            <v>AC</v>
          </cell>
          <cell r="B2">
            <v>147.32</v>
          </cell>
          <cell r="C2">
            <v>18.579999999999998</v>
          </cell>
          <cell r="D2">
            <v>128.74</v>
          </cell>
        </row>
        <row r="3">
          <cell r="A3" t="str">
            <v>AM</v>
          </cell>
          <cell r="B3">
            <v>48.53</v>
          </cell>
          <cell r="C3">
            <v>41.8</v>
          </cell>
          <cell r="D3">
            <v>6.730000000000004</v>
          </cell>
        </row>
        <row r="4">
          <cell r="A4" t="str">
            <v>AP</v>
          </cell>
          <cell r="B4">
            <v>9.5</v>
          </cell>
          <cell r="C4">
            <v>2.66</v>
          </cell>
          <cell r="D4">
            <v>6.84</v>
          </cell>
        </row>
        <row r="5">
          <cell r="A5" t="str">
            <v>PA</v>
          </cell>
          <cell r="B5">
            <v>190.65</v>
          </cell>
          <cell r="C5">
            <v>29.13</v>
          </cell>
          <cell r="D5">
            <v>161.52000000000001</v>
          </cell>
        </row>
        <row r="6">
          <cell r="A6" t="str">
            <v>RO</v>
          </cell>
          <cell r="B6">
            <v>276.52</v>
          </cell>
          <cell r="C6">
            <v>27.2</v>
          </cell>
          <cell r="D6">
            <v>249.32</v>
          </cell>
        </row>
        <row r="7">
          <cell r="A7" t="str">
            <v>RR</v>
          </cell>
          <cell r="B7">
            <v>5.96</v>
          </cell>
          <cell r="C7">
            <v>2.0499999999999998</v>
          </cell>
          <cell r="D7">
            <v>3.91</v>
          </cell>
        </row>
        <row r="8">
          <cell r="A8" t="str">
            <v>TO</v>
          </cell>
          <cell r="B8">
            <v>343.56</v>
          </cell>
          <cell r="C8">
            <v>46.27</v>
          </cell>
          <cell r="D8">
            <v>297.29000000000002</v>
          </cell>
        </row>
        <row r="9">
          <cell r="A9" t="str">
            <v>Soma (N)</v>
          </cell>
          <cell r="B9">
            <v>1022.04</v>
          </cell>
          <cell r="C9">
            <v>167.69</v>
          </cell>
          <cell r="D9">
            <v>854.34999999999991</v>
          </cell>
        </row>
        <row r="10">
          <cell r="A10" t="str">
            <v>AL</v>
          </cell>
          <cell r="B10">
            <v>322.22000000000003</v>
          </cell>
          <cell r="C10">
            <v>37.53</v>
          </cell>
          <cell r="D10">
            <v>284.69000000000005</v>
          </cell>
        </row>
        <row r="11">
          <cell r="A11" t="str">
            <v>BA</v>
          </cell>
          <cell r="B11">
            <v>1489.03</v>
          </cell>
          <cell r="C11">
            <v>273.15999999999997</v>
          </cell>
          <cell r="D11">
            <v>1215.8699999999999</v>
          </cell>
        </row>
        <row r="12">
          <cell r="A12" t="str">
            <v>CE</v>
          </cell>
          <cell r="B12">
            <v>1032.4100000000001</v>
          </cell>
          <cell r="C12">
            <v>194.51</v>
          </cell>
          <cell r="D12">
            <v>837.90000000000009</v>
          </cell>
        </row>
        <row r="13">
          <cell r="A13" t="str">
            <v>MA</v>
          </cell>
          <cell r="B13">
            <v>121.61</v>
          </cell>
          <cell r="C13">
            <v>10.77</v>
          </cell>
          <cell r="D13">
            <v>110.84</v>
          </cell>
        </row>
        <row r="14">
          <cell r="A14" t="str">
            <v>PB</v>
          </cell>
          <cell r="B14">
            <v>790.69</v>
          </cell>
          <cell r="C14">
            <v>198.03000000000003</v>
          </cell>
          <cell r="D14">
            <v>592.66000000000008</v>
          </cell>
        </row>
        <row r="15">
          <cell r="A15" t="str">
            <v>PE</v>
          </cell>
          <cell r="B15">
            <v>1720.55</v>
          </cell>
          <cell r="C15">
            <v>140.10999999999999</v>
          </cell>
          <cell r="D15">
            <v>1580.44</v>
          </cell>
        </row>
        <row r="16">
          <cell r="A16" t="str">
            <v>PI</v>
          </cell>
          <cell r="B16">
            <v>26.82</v>
          </cell>
          <cell r="C16">
            <v>2.8499999999999996</v>
          </cell>
          <cell r="D16">
            <v>23.97</v>
          </cell>
        </row>
        <row r="17">
          <cell r="A17" t="str">
            <v>RN</v>
          </cell>
          <cell r="B17">
            <v>919.84</v>
          </cell>
          <cell r="C17">
            <v>114.13000000000001</v>
          </cell>
          <cell r="D17">
            <v>805.71</v>
          </cell>
        </row>
        <row r="18">
          <cell r="A18" t="str">
            <v>SE</v>
          </cell>
          <cell r="B18">
            <v>324.61</v>
          </cell>
          <cell r="C18">
            <v>31.619999999999997</v>
          </cell>
          <cell r="D18">
            <v>292.99</v>
          </cell>
        </row>
        <row r="19">
          <cell r="A19" t="str">
            <v>Soma (NE)</v>
          </cell>
          <cell r="B19">
            <v>6747.78</v>
          </cell>
          <cell r="C19">
            <v>1002.71</v>
          </cell>
          <cell r="D19">
            <v>5745.07</v>
          </cell>
        </row>
        <row r="20">
          <cell r="A20" t="str">
            <v>DF</v>
          </cell>
          <cell r="B20">
            <v>6147.84</v>
          </cell>
          <cell r="C20">
            <v>593.49000000000012</v>
          </cell>
          <cell r="D20">
            <v>5554.35</v>
          </cell>
        </row>
        <row r="21">
          <cell r="A21" t="str">
            <v>GO</v>
          </cell>
          <cell r="B21">
            <v>1489.68</v>
          </cell>
          <cell r="C21">
            <v>250.45999999999998</v>
          </cell>
          <cell r="D21">
            <v>1239.22</v>
          </cell>
        </row>
        <row r="22">
          <cell r="A22" t="str">
            <v>MS</v>
          </cell>
          <cell r="B22">
            <v>811.98</v>
          </cell>
          <cell r="C22">
            <v>81.239999999999995</v>
          </cell>
          <cell r="D22">
            <v>730.74</v>
          </cell>
        </row>
        <row r="23">
          <cell r="A23" t="str">
            <v>MT</v>
          </cell>
          <cell r="B23">
            <v>1568.52</v>
          </cell>
          <cell r="C23">
            <v>142.10999999999999</v>
          </cell>
          <cell r="D23">
            <v>1426.41</v>
          </cell>
        </row>
        <row r="24">
          <cell r="A24" t="str">
            <v>Soma (CO)</v>
          </cell>
          <cell r="B24">
            <v>10018.02</v>
          </cell>
          <cell r="C24">
            <v>1067.3</v>
          </cell>
          <cell r="D24">
            <v>8950.7200000000012</v>
          </cell>
        </row>
        <row r="25">
          <cell r="A25" t="str">
            <v>ES</v>
          </cell>
          <cell r="B25">
            <v>880.17</v>
          </cell>
          <cell r="C25">
            <v>154.98000000000002</v>
          </cell>
          <cell r="D25">
            <v>725.18999999999994</v>
          </cell>
        </row>
        <row r="26">
          <cell r="A26" t="str">
            <v>MG</v>
          </cell>
          <cell r="B26">
            <v>4608.0200000000004</v>
          </cell>
          <cell r="C26">
            <v>706.93</v>
          </cell>
          <cell r="D26">
            <v>3901.0900000000006</v>
          </cell>
        </row>
        <row r="27">
          <cell r="A27" t="str">
            <v>RJ</v>
          </cell>
          <cell r="B27">
            <v>11535.37</v>
          </cell>
          <cell r="C27">
            <v>1475.2400000000002</v>
          </cell>
          <cell r="D27">
            <v>10060.130000000001</v>
          </cell>
        </row>
        <row r="28">
          <cell r="A28" t="str">
            <v>SP</v>
          </cell>
          <cell r="B28">
            <v>59626.43</v>
          </cell>
          <cell r="C28">
            <v>13257.49</v>
          </cell>
          <cell r="D28">
            <v>46368.94</v>
          </cell>
        </row>
        <row r="29">
          <cell r="A29" t="str">
            <v>Soma (SE)</v>
          </cell>
          <cell r="B29">
            <v>76649.990000000005</v>
          </cell>
          <cell r="C29">
            <v>15594.64</v>
          </cell>
          <cell r="D29">
            <v>61055.350000000006</v>
          </cell>
        </row>
        <row r="30">
          <cell r="A30" t="str">
            <v>PR</v>
          </cell>
          <cell r="B30">
            <v>5256.38</v>
          </cell>
          <cell r="C30">
            <v>914.18000000000006</v>
          </cell>
          <cell r="D30">
            <v>4342.2</v>
          </cell>
        </row>
        <row r="31">
          <cell r="A31" t="str">
            <v>RS</v>
          </cell>
          <cell r="B31">
            <v>4891.0600000000004</v>
          </cell>
          <cell r="C31">
            <v>1342.1399999999999</v>
          </cell>
          <cell r="D31">
            <v>3548.9200000000005</v>
          </cell>
        </row>
        <row r="32">
          <cell r="A32" t="str">
            <v>SC</v>
          </cell>
          <cell r="B32">
            <v>2486.37</v>
          </cell>
          <cell r="C32">
            <v>308.64999999999998</v>
          </cell>
          <cell r="D32">
            <v>2177.7199999999998</v>
          </cell>
        </row>
        <row r="34">
          <cell r="D34">
            <v>86674.33</v>
          </cell>
        </row>
      </sheetData>
      <sheetData sheetId="38" refreshError="1"/>
      <sheetData sheetId="39" refreshError="1"/>
      <sheetData sheetId="40" refreshError="1"/>
      <sheetData sheetId="41">
        <row r="3">
          <cell r="A3" t="str">
            <v>AC</v>
          </cell>
          <cell r="B3">
            <v>14128.337979098384</v>
          </cell>
          <cell r="C3">
            <v>14560.402340624696</v>
          </cell>
          <cell r="D3">
            <v>2912.08</v>
          </cell>
        </row>
        <row r="4">
          <cell r="A4" t="str">
            <v>AM</v>
          </cell>
          <cell r="B4">
            <v>31378.106418065094</v>
          </cell>
          <cell r="C4">
            <v>32244.538340340212</v>
          </cell>
          <cell r="D4">
            <v>6448.91</v>
          </cell>
        </row>
        <row r="5">
          <cell r="A5" t="str">
            <v>AP</v>
          </cell>
          <cell r="B5">
            <v>15491.068185837119</v>
          </cell>
          <cell r="C5">
            <v>15888.74913000511</v>
          </cell>
          <cell r="D5">
            <v>3177.75</v>
          </cell>
        </row>
        <row r="6">
          <cell r="A6" t="str">
            <v>PA</v>
          </cell>
          <cell r="B6">
            <v>44042.78367270554</v>
          </cell>
          <cell r="C6">
            <v>45253.350282224637</v>
          </cell>
          <cell r="D6">
            <v>9050.67</v>
          </cell>
        </row>
        <row r="7">
          <cell r="A7" t="str">
            <v>RO</v>
          </cell>
          <cell r="B7">
            <v>32409.672381665161</v>
          </cell>
          <cell r="C7">
            <v>33504.284483218769</v>
          </cell>
          <cell r="D7">
            <v>6700.86</v>
          </cell>
        </row>
        <row r="8">
          <cell r="A8" t="str">
            <v>RR</v>
          </cell>
          <cell r="B8">
            <v>4116.0726757361263</v>
          </cell>
          <cell r="C8">
            <v>4224.2315415818966</v>
          </cell>
          <cell r="D8">
            <v>844.85</v>
          </cell>
        </row>
        <row r="9">
          <cell r="A9" t="str">
            <v>TO</v>
          </cell>
          <cell r="B9">
            <v>18692.738407292207</v>
          </cell>
          <cell r="C9">
            <v>19202.68538271702</v>
          </cell>
          <cell r="D9">
            <v>3840.54</v>
          </cell>
        </row>
        <row r="10">
          <cell r="A10" t="str">
            <v>Soma (N)</v>
          </cell>
          <cell r="B10">
            <v>160258.77972039962</v>
          </cell>
          <cell r="C10">
            <v>164878.24150071235</v>
          </cell>
          <cell r="D10">
            <v>32975.65</v>
          </cell>
        </row>
        <row r="11">
          <cell r="A11" t="str">
            <v>AL</v>
          </cell>
          <cell r="B11">
            <v>33418.472906268566</v>
          </cell>
          <cell r="C11">
            <v>34277.041265750602</v>
          </cell>
          <cell r="D11">
            <v>6855.41</v>
          </cell>
        </row>
        <row r="12">
          <cell r="A12" t="str">
            <v>BA</v>
          </cell>
          <cell r="B12">
            <v>75576.295051803274</v>
          </cell>
          <cell r="C12">
            <v>77671.050012968641</v>
          </cell>
          <cell r="D12">
            <v>15534.21</v>
          </cell>
        </row>
        <row r="13">
          <cell r="A13" t="str">
            <v>CE</v>
          </cell>
          <cell r="B13">
            <v>49757.119132780128</v>
          </cell>
          <cell r="C13">
            <v>50847.995432530333</v>
          </cell>
          <cell r="D13">
            <v>10169.6</v>
          </cell>
        </row>
        <row r="14">
          <cell r="A14" t="str">
            <v>MA</v>
          </cell>
          <cell r="B14">
            <v>22646.116695715973</v>
          </cell>
          <cell r="C14">
            <v>23222.593315596903</v>
          </cell>
          <cell r="D14">
            <v>4644.5200000000004</v>
          </cell>
        </row>
        <row r="15">
          <cell r="A15" t="str">
            <v>PB</v>
          </cell>
          <cell r="B15">
            <v>48097.232660123103</v>
          </cell>
          <cell r="C15">
            <v>49382.019725316255</v>
          </cell>
          <cell r="D15">
            <v>9876.4</v>
          </cell>
        </row>
        <row r="16">
          <cell r="A16" t="str">
            <v>PE</v>
          </cell>
          <cell r="B16">
            <v>76659.573887606995</v>
          </cell>
          <cell r="C16">
            <v>78636.738294108975</v>
          </cell>
          <cell r="D16">
            <v>15727.35</v>
          </cell>
        </row>
        <row r="17">
          <cell r="A17" t="str">
            <v>PI</v>
          </cell>
          <cell r="B17">
            <v>18424.47350207105</v>
          </cell>
          <cell r="C17">
            <v>18904.407872457621</v>
          </cell>
          <cell r="D17">
            <v>3780.88</v>
          </cell>
        </row>
        <row r="18">
          <cell r="A18" t="str">
            <v>RN</v>
          </cell>
          <cell r="B18">
            <v>41664.636385201818</v>
          </cell>
          <cell r="C18">
            <v>42867.096834103257</v>
          </cell>
          <cell r="D18">
            <v>8573.42</v>
          </cell>
        </row>
        <row r="19">
          <cell r="A19" t="str">
            <v>SE</v>
          </cell>
          <cell r="B19">
            <v>24765.629531564246</v>
          </cell>
          <cell r="C19">
            <v>25289.405665983631</v>
          </cell>
          <cell r="D19">
            <v>5057.88</v>
          </cell>
        </row>
        <row r="20">
          <cell r="A20" t="str">
            <v>Soma (NE)</v>
          </cell>
          <cell r="B20">
            <v>391009.54975313519</v>
          </cell>
          <cell r="C20">
            <v>401098.34841881617</v>
          </cell>
          <cell r="D20">
            <v>80219.67</v>
          </cell>
        </row>
        <row r="21">
          <cell r="A21" t="str">
            <v>DF</v>
          </cell>
          <cell r="B21">
            <v>83280.223342417594</v>
          </cell>
          <cell r="C21">
            <v>85645.784130130647</v>
          </cell>
          <cell r="D21">
            <v>17129.16</v>
          </cell>
        </row>
        <row r="22">
          <cell r="A22" t="str">
            <v>GO</v>
          </cell>
          <cell r="B22">
            <v>113258.22722593295</v>
          </cell>
          <cell r="C22">
            <v>116387.68777397691</v>
          </cell>
          <cell r="D22">
            <v>23277.54</v>
          </cell>
        </row>
        <row r="23">
          <cell r="A23" t="str">
            <v>MS</v>
          </cell>
          <cell r="B23">
            <v>79378.642034962235</v>
          </cell>
          <cell r="C23">
            <v>81579.777452023671</v>
          </cell>
          <cell r="D23">
            <v>16315.96</v>
          </cell>
        </row>
        <row r="24">
          <cell r="A24" t="str">
            <v>MT</v>
          </cell>
          <cell r="B24">
            <v>103718.52701740843</v>
          </cell>
          <cell r="C24">
            <v>106946.44996473609</v>
          </cell>
          <cell r="D24">
            <v>21389.29</v>
          </cell>
        </row>
        <row r="25">
          <cell r="A25" t="str">
            <v>Soma (CO)</v>
          </cell>
          <cell r="B25">
            <v>379635.61962072121</v>
          </cell>
          <cell r="C25">
            <v>390559.69932086731</v>
          </cell>
          <cell r="D25">
            <v>78111.94</v>
          </cell>
        </row>
        <row r="26">
          <cell r="A26" t="str">
            <v>ES</v>
          </cell>
          <cell r="B26">
            <v>67119.28491772915</v>
          </cell>
          <cell r="C26">
            <v>68831.687331290232</v>
          </cell>
          <cell r="D26">
            <v>13766.34</v>
          </cell>
        </row>
        <row r="27">
          <cell r="A27" t="str">
            <v>MG</v>
          </cell>
          <cell r="B27">
            <v>267117.91399604309</v>
          </cell>
          <cell r="C27">
            <v>274442.32292507769</v>
          </cell>
          <cell r="D27">
            <v>54888.46</v>
          </cell>
        </row>
        <row r="28">
          <cell r="A28" t="str">
            <v>RJ</v>
          </cell>
          <cell r="B28">
            <v>217332.40815515444</v>
          </cell>
          <cell r="C28">
            <v>223252.39745003992</v>
          </cell>
          <cell r="D28">
            <v>44650.48</v>
          </cell>
        </row>
        <row r="29">
          <cell r="A29" t="str">
            <v>SP</v>
          </cell>
          <cell r="B29">
            <v>1086741.1310509071</v>
          </cell>
          <cell r="C29">
            <v>1115992.478912835</v>
          </cell>
          <cell r="D29">
            <v>223198.5</v>
          </cell>
        </row>
        <row r="30">
          <cell r="A30" t="str">
            <v>Soma (SE)</v>
          </cell>
          <cell r="B30">
            <v>1638310.7381198336</v>
          </cell>
          <cell r="C30">
            <v>1682518.8866192428</v>
          </cell>
          <cell r="D30">
            <v>336503.78</v>
          </cell>
        </row>
        <row r="31">
          <cell r="A31" t="str">
            <v>PR</v>
          </cell>
          <cell r="B31">
            <v>310919.95034773345</v>
          </cell>
          <cell r="C31">
            <v>321381.17951426876</v>
          </cell>
          <cell r="D31">
            <v>64276.24</v>
          </cell>
        </row>
        <row r="32">
          <cell r="A32" t="str">
            <v>RS</v>
          </cell>
          <cell r="B32">
            <v>370322.7186963883</v>
          </cell>
          <cell r="C32">
            <v>381054.42221789737</v>
          </cell>
          <cell r="D32">
            <v>76210.880000000005</v>
          </cell>
        </row>
        <row r="33">
          <cell r="A33" t="str">
            <v>SC</v>
          </cell>
          <cell r="B33">
            <v>230273.0883213745</v>
          </cell>
          <cell r="C33">
            <v>236527.22431520792</v>
          </cell>
          <cell r="D33">
            <v>47305.440000000002</v>
          </cell>
        </row>
        <row r="35">
          <cell r="D35">
            <v>715603.6</v>
          </cell>
        </row>
      </sheetData>
      <sheetData sheetId="42" refreshError="1"/>
      <sheetData sheetId="4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dro 1 - AÇÕES ESTRATÉGICAS"/>
      <sheetName val="SENHA"/>
      <sheetName val="Quadro 2"/>
      <sheetName val="Quadro 3"/>
      <sheetName val="Quadro 4"/>
      <sheetName val="Quadros 5 6 7"/>
      <sheetName val="Regras de Descontos - PF e  PJ"/>
      <sheetName val="Exerc.Anteriores PF-PJ"/>
      <sheetName val="Anexo IV- Qde e Valor 100%"/>
      <sheetName val="Anexo V-Resumo Valor 80% "/>
      <sheetName val="Anexo X.I-Projeções (80 e 100)"/>
      <sheetName val="Anexo III- Qde Prof_Empr_RRT"/>
      <sheetName val="Alterações ou Resumo do CAU_UF"/>
      <sheetName val="Anexo VI-Repasse Fundo de Apoio"/>
      <sheetName val="Anexo VI.I-Aporte do FA"/>
      <sheetName val="Arrecadação_Aportes "/>
      <sheetName val="Anexo VII- CSC Total"/>
      <sheetName val="Anexo VII.I-CSC-Teleatendimento"/>
      <sheetName val="Anexo VII.II-CSC -ESSENCIAIS"/>
      <sheetName val=" Anexo VIII-TARIFAS BANCÁRIAS"/>
      <sheetName val="PF e PJ - com desconto"/>
      <sheetName val="Anexo X.II-Anuidades PF"/>
      <sheetName val="PF - Projeção"/>
      <sheetName val="PJ - Projeção"/>
      <sheetName val="Anexo X.III- Anuidades PJ"/>
      <sheetName val="RRT"/>
      <sheetName val="Anexo X.IV- RRT "/>
      <sheetName val="Taxas e Multas"/>
      <sheetName val="Anexo X.V-Taxas e Multas"/>
      <sheetName val="BD"/>
      <sheetName val="CSC - Tele atendimento"/>
      <sheetName val="CSC - RIA"/>
      <sheetName val="CSC -Demais Serv Essenciais"/>
      <sheetName val="CSC Total"/>
      <sheetName val="CSC P1 x P3"/>
      <sheetName val="Estudos-Percentuais"/>
      <sheetName val="PASSAGENS_2023"/>
      <sheetName val="APRESENTAÇÃO  2022"/>
      <sheetName val="Aporte_Arrecadação(2)"/>
      <sheetName val="ANEXO XI.I"/>
      <sheetName val="EMPRESAS"/>
      <sheetName val="CSC_TAQ e Telefoni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4">
          <cell r="A4" t="str">
            <v>RR</v>
          </cell>
          <cell r="B4">
            <v>241462.24</v>
          </cell>
          <cell r="C4">
            <v>1308402.8699999999</v>
          </cell>
          <cell r="D4">
            <v>1066940.6299999999</v>
          </cell>
          <cell r="E4">
            <v>20144.629999999997</v>
          </cell>
          <cell r="F4">
            <v>1087085.2599999998</v>
          </cell>
          <cell r="G4">
            <v>23240</v>
          </cell>
        </row>
        <row r="5">
          <cell r="A5" t="str">
            <v>AC</v>
          </cell>
          <cell r="B5">
            <v>577963.62</v>
          </cell>
          <cell r="C5">
            <v>1308402.8699999999</v>
          </cell>
          <cell r="D5">
            <v>730439.24999999988</v>
          </cell>
          <cell r="E5">
            <v>48162.89</v>
          </cell>
          <cell r="F5">
            <v>778602.1399999999</v>
          </cell>
          <cell r="G5">
            <v>23240</v>
          </cell>
        </row>
        <row r="6">
          <cell r="A6" t="str">
            <v>AP</v>
          </cell>
          <cell r="B6">
            <v>749799.79</v>
          </cell>
          <cell r="C6">
            <v>1362920.4790000001</v>
          </cell>
          <cell r="D6">
            <v>613120.68900000001</v>
          </cell>
          <cell r="E6">
            <v>61477.03</v>
          </cell>
          <cell r="F6">
            <v>674597.71900000004</v>
          </cell>
          <cell r="G6">
            <v>21240</v>
          </cell>
        </row>
        <row r="7">
          <cell r="A7" t="str">
            <v>TO</v>
          </cell>
          <cell r="B7">
            <v>986010.37</v>
          </cell>
          <cell r="C7">
            <v>1362920.4790000001</v>
          </cell>
          <cell r="D7">
            <v>376910.10900000005</v>
          </cell>
          <cell r="E7">
            <v>81229.429999999993</v>
          </cell>
          <cell r="F7">
            <v>458139.53900000005</v>
          </cell>
          <cell r="G7">
            <v>15240</v>
          </cell>
        </row>
        <row r="8">
          <cell r="A8" t="str">
            <v>PI</v>
          </cell>
          <cell r="B8">
            <v>1286718.6399999999</v>
          </cell>
          <cell r="C8">
            <v>1362920.4790000001</v>
          </cell>
          <cell r="D8">
            <v>76201.839000000153</v>
          </cell>
          <cell r="E8">
            <v>106660.37999999999</v>
          </cell>
          <cell r="F8">
            <v>182862.21900000016</v>
          </cell>
          <cell r="G8">
            <v>20840</v>
          </cell>
        </row>
        <row r="9">
          <cell r="A9" t="str">
            <v>Sub Total</v>
          </cell>
          <cell r="B9">
            <v>3841954.66</v>
          </cell>
          <cell r="C9">
            <v>6705567.1770000001</v>
          </cell>
          <cell r="D9">
            <v>2863612.5170000005</v>
          </cell>
          <cell r="E9">
            <v>317674.36</v>
          </cell>
          <cell r="F9">
            <v>3181286.8769999999</v>
          </cell>
          <cell r="G9">
            <v>103800</v>
          </cell>
        </row>
        <row r="10">
          <cell r="A10" t="str">
            <v>Gestão do Fundo de Apoio (10%)³</v>
          </cell>
          <cell r="B10"/>
          <cell r="C10"/>
          <cell r="D10">
            <v>143681.25170000008</v>
          </cell>
          <cell r="E10"/>
          <cell r="F10">
            <v>0</v>
          </cell>
          <cell r="G10">
            <v>0</v>
          </cell>
        </row>
        <row r="11">
          <cell r="A11" t="str">
            <v>Total 1</v>
          </cell>
          <cell r="B11"/>
          <cell r="C11"/>
          <cell r="D11"/>
          <cell r="E11"/>
          <cell r="F11">
            <v>3181286.8769999999</v>
          </cell>
          <cell r="G11">
            <v>103800</v>
          </cell>
        </row>
        <row r="12">
          <cell r="A12" t="str">
            <v>SE</v>
          </cell>
          <cell r="B12">
            <v>1411868.27</v>
          </cell>
          <cell r="C12">
            <v>1362920.4790000001</v>
          </cell>
          <cell r="D12">
            <v>0</v>
          </cell>
          <cell r="E12">
            <v>119054.87</v>
          </cell>
          <cell r="F12">
            <v>119054.87</v>
          </cell>
          <cell r="G12">
            <v>17240</v>
          </cell>
        </row>
        <row r="13">
          <cell r="A13" t="str">
            <v>MA</v>
          </cell>
          <cell r="B13">
            <v>1503142.7</v>
          </cell>
          <cell r="C13">
            <v>1362920.4790000001</v>
          </cell>
          <cell r="D13">
            <v>0</v>
          </cell>
          <cell r="E13">
            <v>127163.84</v>
          </cell>
          <cell r="F13">
            <v>127163.84</v>
          </cell>
          <cell r="G13">
            <v>21640</v>
          </cell>
        </row>
        <row r="78">
          <cell r="E78">
            <v>19240</v>
          </cell>
        </row>
        <row r="79">
          <cell r="E79">
            <v>20840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ras de Descontos - PF e PJ"/>
      <sheetName val="PF e PJ - com desconto"/>
      <sheetName val="Quadro 1 - AÇÕES ESTRATÉGICAS"/>
      <sheetName val="Quadro 2"/>
      <sheetName val="Quadro 3"/>
      <sheetName val="Quadro 4"/>
      <sheetName val="Quadros 5 6 7"/>
      <sheetName val="Anexo IV- Qde e Valor 100%"/>
      <sheetName val="Anexo III- Qde Prof_Empr_RRT"/>
      <sheetName val="Anexo V-Resumo Valor 80% "/>
      <sheetName val="Alterações ou Resumo do CAU_UF"/>
      <sheetName val="Anexo VI-Repasse Fundo de Apoio"/>
      <sheetName val="Anexo VI.I-Aporte do FA"/>
      <sheetName val="Anexo VII- CSC - SERV."/>
      <sheetName val="Anexo VII.I-CSC-Teleatendimento"/>
      <sheetName val="Anexo VII.II-CSC -ESSENCIAIS"/>
      <sheetName val="Anexo VII.III- SISCAF"/>
      <sheetName val="GERAL_CSC"/>
      <sheetName val=" Anexo VIII-TARIFAS BANCÁRIAS"/>
      <sheetName val="Anexo X.I-Projeções (80 e 100)"/>
      <sheetName val="PF - Projeção"/>
      <sheetName val="Anexo X.II-Anuidades PF"/>
      <sheetName val="PJ - Projeção"/>
      <sheetName val="RRT"/>
      <sheetName val="Anexo X.III- Anuidades PJ"/>
      <sheetName val="Anexo X.IV- RRT "/>
      <sheetName val="Taxas e Multas"/>
      <sheetName val="Anexo X.V-Taxas e Multas"/>
      <sheetName val="Estudos-Percentuais"/>
      <sheetName val="Exerc.Anteriores PF-PJ"/>
      <sheetName val="PASSAGENS_2022"/>
      <sheetName val="Arrecadação_Aportes "/>
      <sheetName val="APRESENTAÇÃO  2022"/>
      <sheetName val="Aporte_Arrecadação(2)"/>
      <sheetName val="ANEXO XI.I"/>
      <sheetName val="EMPRESAS"/>
      <sheetName val="CSC_TAQ e Telefon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4">
          <cell r="A4" t="str">
            <v>AC</v>
          </cell>
          <cell r="B4">
            <v>499139.81999999995</v>
          </cell>
          <cell r="C4">
            <v>180.83605743244351</v>
          </cell>
          <cell r="D4">
            <v>39070.160000000003</v>
          </cell>
          <cell r="E4">
            <v>4476.22</v>
          </cell>
          <cell r="F4">
            <v>43727.216057432452</v>
          </cell>
        </row>
        <row r="5">
          <cell r="A5" t="str">
            <v>AM</v>
          </cell>
          <cell r="B5">
            <v>1406114.8239999998</v>
          </cell>
          <cell r="C5">
            <v>122.84021173293388</v>
          </cell>
          <cell r="D5">
            <v>110063.62</v>
          </cell>
          <cell r="E5">
            <v>12609.86</v>
          </cell>
          <cell r="F5">
            <v>122796.32021173293</v>
          </cell>
        </row>
        <row r="6">
          <cell r="A6" t="str">
            <v>AP</v>
          </cell>
          <cell r="B6">
            <v>636618.56400000001</v>
          </cell>
          <cell r="C6">
            <v>53.594061690019181</v>
          </cell>
          <cell r="D6">
            <v>49831.31</v>
          </cell>
          <cell r="E6">
            <v>5709.11</v>
          </cell>
          <cell r="F6">
            <v>55594.014061690017</v>
          </cell>
        </row>
        <row r="7">
          <cell r="A7" t="str">
            <v>PA</v>
          </cell>
          <cell r="B7">
            <v>1773670.7180000003</v>
          </cell>
          <cell r="C7">
            <v>354.09776844430104</v>
          </cell>
          <cell r="D7">
            <v>138834.04999999999</v>
          </cell>
          <cell r="E7">
            <v>15906.05</v>
          </cell>
          <cell r="F7">
            <v>155094.19776844428</v>
          </cell>
        </row>
        <row r="8">
          <cell r="A8" t="str">
            <v>RO</v>
          </cell>
          <cell r="B8">
            <v>1505351.2719999999</v>
          </cell>
          <cell r="C8">
            <v>399.45019198889133</v>
          </cell>
          <cell r="D8">
            <v>117831.35</v>
          </cell>
          <cell r="E8">
            <v>13499.8</v>
          </cell>
          <cell r="F8">
            <v>131730.60019198889</v>
          </cell>
        </row>
        <row r="9">
          <cell r="A9" t="str">
            <v>RR</v>
          </cell>
          <cell r="B9">
            <v>200941.37000000002</v>
          </cell>
          <cell r="C9">
            <v>133.01348381869767</v>
          </cell>
          <cell r="D9">
            <v>15728.68</v>
          </cell>
          <cell r="E9">
            <v>1802.02</v>
          </cell>
          <cell r="F9">
            <v>17663.713483818698</v>
          </cell>
        </row>
        <row r="10">
          <cell r="A10" t="str">
            <v>TO</v>
          </cell>
          <cell r="B10">
            <v>843287.91800000006</v>
          </cell>
          <cell r="C10">
            <v>445.49332100305588</v>
          </cell>
          <cell r="D10">
            <v>66008.350000000006</v>
          </cell>
          <cell r="E10">
            <v>7562.5</v>
          </cell>
          <cell r="F10">
            <v>74016.343321003063</v>
          </cell>
        </row>
        <row r="11">
          <cell r="A11" t="str">
            <v>Soma (N)</v>
          </cell>
          <cell r="B11">
            <v>6865124.4859999996</v>
          </cell>
          <cell r="C11">
            <v>1689.3250961103427</v>
          </cell>
          <cell r="D11">
            <v>537367.52</v>
          </cell>
          <cell r="E11">
            <v>61565.57</v>
          </cell>
          <cell r="F11">
            <v>600622.41509611032</v>
          </cell>
        </row>
        <row r="12">
          <cell r="A12" t="str">
            <v>AL</v>
          </cell>
          <cell r="B12">
            <v>1401930.0119999999</v>
          </cell>
          <cell r="C12">
            <v>397.90488483662341</v>
          </cell>
          <cell r="D12">
            <v>109736.05</v>
          </cell>
          <cell r="E12">
            <v>12572.33</v>
          </cell>
          <cell r="F12">
            <v>122706.28488483663</v>
          </cell>
        </row>
        <row r="13">
          <cell r="A13" t="str">
            <v>BA</v>
          </cell>
          <cell r="B13">
            <v>3996390.8820000002</v>
          </cell>
          <cell r="C13">
            <v>1761.5916192235993</v>
          </cell>
          <cell r="D13">
            <v>312817.45</v>
          </cell>
          <cell r="E13">
            <v>35839.129999999997</v>
          </cell>
          <cell r="F13">
            <v>350418.17161922361</v>
          </cell>
        </row>
        <row r="14">
          <cell r="A14" t="str">
            <v>CE</v>
          </cell>
          <cell r="B14">
            <v>2505306.6920000003</v>
          </cell>
          <cell r="C14">
            <v>1141.3615212906116</v>
          </cell>
          <cell r="D14">
            <v>196102.85</v>
          </cell>
          <cell r="E14">
            <v>22467.27</v>
          </cell>
          <cell r="F14">
            <v>219711.48152129061</v>
          </cell>
        </row>
        <row r="15">
          <cell r="A15" t="str">
            <v>MA</v>
          </cell>
          <cell r="B15">
            <v>1243874.6639999999</v>
          </cell>
          <cell r="C15">
            <v>219.67945994172348</v>
          </cell>
          <cell r="D15">
            <v>97364.27</v>
          </cell>
          <cell r="E15">
            <v>11154.91</v>
          </cell>
          <cell r="F15">
            <v>108738.85945994173</v>
          </cell>
        </row>
        <row r="16">
          <cell r="A16" t="str">
            <v>PB</v>
          </cell>
          <cell r="B16">
            <v>1996613.2280000001</v>
          </cell>
          <cell r="C16">
            <v>739.37093799837078</v>
          </cell>
          <cell r="D16">
            <v>156284.88</v>
          </cell>
          <cell r="E16">
            <v>17905.37</v>
          </cell>
          <cell r="F16">
            <v>174929.62093799838</v>
          </cell>
        </row>
        <row r="17">
          <cell r="A17" t="str">
            <v>PE</v>
          </cell>
          <cell r="B17">
            <v>3563859.6460000006</v>
          </cell>
          <cell r="C17">
            <v>1957.6231969866769</v>
          </cell>
          <cell r="D17">
            <v>278961.07</v>
          </cell>
          <cell r="E17">
            <v>31960.240000000002</v>
          </cell>
          <cell r="F17">
            <v>312878.93319698668</v>
          </cell>
        </row>
        <row r="18">
          <cell r="A18" t="str">
            <v>PI</v>
          </cell>
          <cell r="B18">
            <v>1025134.762</v>
          </cell>
          <cell r="C18">
            <v>87.450336571525384</v>
          </cell>
          <cell r="D18">
            <v>80242.41</v>
          </cell>
          <cell r="E18">
            <v>9193.2800000000007</v>
          </cell>
          <cell r="F18">
            <v>89523.140336571523</v>
          </cell>
        </row>
        <row r="19">
          <cell r="A19" t="str">
            <v>RN</v>
          </cell>
          <cell r="B19">
            <v>1930315.5560000001</v>
          </cell>
          <cell r="C19">
            <v>824.65550318224814</v>
          </cell>
          <cell r="D19">
            <v>151095.43</v>
          </cell>
          <cell r="E19">
            <v>17310.830000000002</v>
          </cell>
          <cell r="F19">
            <v>169230.91550318222</v>
          </cell>
        </row>
        <row r="20">
          <cell r="A20" t="str">
            <v>SE</v>
          </cell>
          <cell r="B20">
            <v>1188123.594</v>
          </cell>
          <cell r="C20">
            <v>496.68747385811355</v>
          </cell>
          <cell r="D20">
            <v>93000.36</v>
          </cell>
          <cell r="E20">
            <v>10654.94</v>
          </cell>
          <cell r="F20">
            <v>104151.98747385811</v>
          </cell>
        </row>
        <row r="21">
          <cell r="A21" t="str">
            <v>Soma (NE)</v>
          </cell>
          <cell r="B21">
            <v>18851549.036000002</v>
          </cell>
          <cell r="C21">
            <v>7626.324933889493</v>
          </cell>
          <cell r="D21">
            <v>1475604.77</v>
          </cell>
          <cell r="E21">
            <v>169058.3</v>
          </cell>
          <cell r="F21">
            <v>1652289.3949338896</v>
          </cell>
        </row>
        <row r="22">
          <cell r="A22" t="str">
            <v>DF</v>
          </cell>
          <cell r="B22">
            <v>3993633.9599999995</v>
          </cell>
          <cell r="C22">
            <v>6386.4969091312641</v>
          </cell>
          <cell r="D22">
            <v>312601.65000000002</v>
          </cell>
          <cell r="E22">
            <v>35814.400000000001</v>
          </cell>
          <cell r="F22">
            <v>354802.54690913128</v>
          </cell>
        </row>
        <row r="23">
          <cell r="A23" t="str">
            <v>GO</v>
          </cell>
          <cell r="B23">
            <v>4630274.75</v>
          </cell>
          <cell r="C23">
            <v>1789.9222503485112</v>
          </cell>
          <cell r="D23">
            <v>362434.7</v>
          </cell>
          <cell r="E23">
            <v>41523.72</v>
          </cell>
          <cell r="F23">
            <v>405748.34225034853</v>
          </cell>
        </row>
        <row r="24">
          <cell r="A24" t="str">
            <v>MS</v>
          </cell>
          <cell r="B24">
            <v>3271733.81</v>
          </cell>
          <cell r="C24">
            <v>895.07234046172925</v>
          </cell>
          <cell r="D24">
            <v>256094.92</v>
          </cell>
          <cell r="E24">
            <v>29340.49</v>
          </cell>
          <cell r="F24">
            <v>286330.48234046175</v>
          </cell>
        </row>
        <row r="25">
          <cell r="A25" t="str">
            <v>MT</v>
          </cell>
          <cell r="B25">
            <v>4472583.3719999995</v>
          </cell>
          <cell r="C25">
            <v>1919.1075869036363</v>
          </cell>
          <cell r="D25">
            <v>350091.41</v>
          </cell>
          <cell r="E25">
            <v>40109.56</v>
          </cell>
          <cell r="F25">
            <v>392120.07758690359</v>
          </cell>
        </row>
        <row r="26">
          <cell r="A26" t="str">
            <v>Soma (CO)</v>
          </cell>
          <cell r="B26">
            <v>16368225.891999999</v>
          </cell>
          <cell r="C26">
            <v>10990.599086845141</v>
          </cell>
          <cell r="D26">
            <v>1281222.6800000002</v>
          </cell>
          <cell r="E26">
            <v>146788.18</v>
          </cell>
          <cell r="F26">
            <v>1439001.4590868452</v>
          </cell>
        </row>
        <row r="27">
          <cell r="A27" t="str">
            <v>ES</v>
          </cell>
          <cell r="B27">
            <v>3137923.5380000002</v>
          </cell>
          <cell r="C27">
            <v>1417.0817792467783</v>
          </cell>
          <cell r="D27">
            <v>245620.93</v>
          </cell>
          <cell r="E27">
            <v>28140.5</v>
          </cell>
          <cell r="F27">
            <v>275178.51177924674</v>
          </cell>
        </row>
        <row r="28">
          <cell r="A28" t="str">
            <v>MG</v>
          </cell>
          <cell r="B28">
            <v>11451285.126</v>
          </cell>
          <cell r="C28">
            <v>8538.50101487746</v>
          </cell>
          <cell r="D28">
            <v>896349.2</v>
          </cell>
          <cell r="E28">
            <v>102693.67</v>
          </cell>
          <cell r="F28">
            <v>1007581.3710148775</v>
          </cell>
        </row>
        <row r="29">
          <cell r="A29" t="str">
            <v>RJ</v>
          </cell>
          <cell r="B29">
            <v>12378289.412</v>
          </cell>
          <cell r="C29">
            <v>16367.8582362047</v>
          </cell>
          <cell r="D29">
            <v>968910.45</v>
          </cell>
          <cell r="E29">
            <v>111006.93</v>
          </cell>
          <cell r="F29">
            <v>1096285.2382362047</v>
          </cell>
        </row>
        <row r="30">
          <cell r="A30" t="str">
            <v>SP</v>
          </cell>
          <cell r="B30">
            <v>54658046.024000004</v>
          </cell>
          <cell r="C30">
            <v>44919.398042656663</v>
          </cell>
          <cell r="D30">
            <v>4278357.87</v>
          </cell>
          <cell r="E30">
            <v>490166.43</v>
          </cell>
          <cell r="F30">
            <v>4813443.6980426563</v>
          </cell>
        </row>
        <row r="31">
          <cell r="A31" t="str">
            <v>Soma (SE)</v>
          </cell>
          <cell r="B31">
            <v>81625544.100000009</v>
          </cell>
          <cell r="C31">
            <v>71242.839072985604</v>
          </cell>
          <cell r="D31">
            <v>6389238.4500000002</v>
          </cell>
          <cell r="E31">
            <v>732007.54</v>
          </cell>
          <cell r="F31">
            <v>7192488.8290729858</v>
          </cell>
        </row>
        <row r="32">
          <cell r="A32" t="str">
            <v>PR</v>
          </cell>
          <cell r="B32">
            <v>11604275.961999999</v>
          </cell>
          <cell r="C32">
            <v>5825.5621197303753</v>
          </cell>
          <cell r="D32">
            <v>908324.56</v>
          </cell>
          <cell r="E32">
            <v>104065.68</v>
          </cell>
          <cell r="F32">
            <v>1018215.8021197305</v>
          </cell>
        </row>
        <row r="33">
          <cell r="A33" t="str">
            <v>RS</v>
          </cell>
          <cell r="B33">
            <v>15038687.568000002</v>
          </cell>
          <cell r="C33">
            <v>5538.8022811333849</v>
          </cell>
          <cell r="D33">
            <v>1177153.08</v>
          </cell>
          <cell r="E33">
            <v>134865.04</v>
          </cell>
          <cell r="F33">
            <v>1317556.9222811335</v>
          </cell>
        </row>
        <row r="34">
          <cell r="A34" t="str">
            <v>SC</v>
          </cell>
          <cell r="B34">
            <v>9996964.7720000017</v>
          </cell>
          <cell r="C34">
            <v>4158.1874093056567</v>
          </cell>
          <cell r="D34">
            <v>782512.29</v>
          </cell>
          <cell r="E34">
            <v>89651.51</v>
          </cell>
          <cell r="F34">
            <v>876321.98740930576</v>
          </cell>
        </row>
        <row r="35">
          <cell r="A35" t="str">
            <v>Soma (S)</v>
          </cell>
          <cell r="B35">
            <v>36639928.302000001</v>
          </cell>
          <cell r="C35">
            <v>15522.551810169418</v>
          </cell>
          <cell r="D35">
            <v>2867989.93</v>
          </cell>
          <cell r="E35">
            <v>328582.24</v>
          </cell>
          <cell r="F35">
            <v>3212094.7218101695</v>
          </cell>
        </row>
        <row r="36">
          <cell r="A36" t="str">
            <v>Soma CAU/UF</v>
          </cell>
          <cell r="B36">
            <v>160350371.81599998</v>
          </cell>
          <cell r="C36">
            <v>107071.64</v>
          </cell>
          <cell r="D36">
            <v>12551423.360200001</v>
          </cell>
          <cell r="E36">
            <v>1438001.82</v>
          </cell>
          <cell r="F36">
            <v>14096496.820200002</v>
          </cell>
        </row>
        <row r="37">
          <cell r="A37" t="str">
            <v xml:space="preserve"> CAU/BR </v>
          </cell>
          <cell r="B37">
            <v>40087592.954000004</v>
          </cell>
          <cell r="C37">
            <v>0</v>
          </cell>
          <cell r="D37">
            <v>3137855.84</v>
          </cell>
          <cell r="E37">
            <v>359500.46</v>
          </cell>
          <cell r="F37">
            <v>3497356.3</v>
          </cell>
        </row>
        <row r="38">
          <cell r="A38" t="str">
            <v>TOTAL</v>
          </cell>
          <cell r="B38">
            <v>200437964.76999998</v>
          </cell>
          <cell r="C38">
            <v>107071.64</v>
          </cell>
          <cell r="D38">
            <v>15689279.200200001</v>
          </cell>
          <cell r="E38">
            <v>1797502.28</v>
          </cell>
          <cell r="F38">
            <v>17593853.120200001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monstrativos 2022"/>
      <sheetName val="Demonstrativos (2)"/>
    </sheetNames>
    <sheetDataSet>
      <sheetData sheetId="0">
        <row r="6">
          <cell r="A6" t="str">
            <v>AC</v>
          </cell>
          <cell r="B6">
            <v>1372330.94</v>
          </cell>
          <cell r="C6">
            <v>0</v>
          </cell>
          <cell r="D6">
            <v>1254306.8</v>
          </cell>
          <cell r="E6">
            <v>14928.77</v>
          </cell>
          <cell r="F6">
            <v>1688801.74</v>
          </cell>
          <cell r="G6">
            <v>1447810.31</v>
          </cell>
          <cell r="H6">
            <v>1368688.05</v>
          </cell>
          <cell r="I6">
            <v>107677.73</v>
          </cell>
          <cell r="J6">
            <v>114874.59</v>
          </cell>
          <cell r="K6">
            <v>0</v>
          </cell>
          <cell r="L6">
            <v>1361491.19</v>
          </cell>
          <cell r="M6">
            <v>777180.92</v>
          </cell>
          <cell r="N6">
            <v>878742.31</v>
          </cell>
          <cell r="O6">
            <v>1330180.1100000001</v>
          </cell>
          <cell r="P6">
            <v>1312749.48</v>
          </cell>
          <cell r="Q6">
            <v>537821.43000000005</v>
          </cell>
          <cell r="R6">
            <v>106394.92999999993</v>
          </cell>
          <cell r="S6">
            <v>0</v>
          </cell>
          <cell r="T6">
            <v>0</v>
          </cell>
          <cell r="U6">
            <v>103095.36999999988</v>
          </cell>
          <cell r="V6">
            <v>209490.29999999981</v>
          </cell>
          <cell r="W6">
            <v>118024.1399999999</v>
          </cell>
          <cell r="X6">
            <v>240991.42999999993</v>
          </cell>
          <cell r="Y6">
            <v>763867.72000000009</v>
          </cell>
        </row>
        <row r="7">
          <cell r="A7" t="str">
            <v>AL</v>
          </cell>
          <cell r="B7">
            <v>1801254.52</v>
          </cell>
          <cell r="C7">
            <v>0</v>
          </cell>
          <cell r="D7">
            <v>1397435.58</v>
          </cell>
          <cell r="E7">
            <v>47344.639999999999</v>
          </cell>
          <cell r="F7">
            <v>2570313.7400000002</v>
          </cell>
          <cell r="G7">
            <v>1928383.27</v>
          </cell>
          <cell r="H7">
            <v>2468636.27</v>
          </cell>
          <cell r="I7">
            <v>723110.38</v>
          </cell>
          <cell r="J7">
            <v>78359.8</v>
          </cell>
          <cell r="K7">
            <v>0</v>
          </cell>
          <cell r="L7">
            <v>3113386.85</v>
          </cell>
          <cell r="M7">
            <v>1228125.19</v>
          </cell>
          <cell r="N7">
            <v>1660024.64</v>
          </cell>
          <cell r="O7">
            <v>1592033.98</v>
          </cell>
          <cell r="P7">
            <v>1585034</v>
          </cell>
          <cell r="Q7">
            <v>702691.35</v>
          </cell>
          <cell r="R7">
            <v>0</v>
          </cell>
          <cell r="S7">
            <v>90100</v>
          </cell>
          <cell r="T7">
            <v>0</v>
          </cell>
          <cell r="U7">
            <v>356474.30000000005</v>
          </cell>
          <cell r="V7">
            <v>356474.30000000005</v>
          </cell>
          <cell r="W7">
            <v>403818.93999999994</v>
          </cell>
          <cell r="X7">
            <v>641930.4700000002</v>
          </cell>
          <cell r="Y7">
            <v>1491564.8399999999</v>
          </cell>
        </row>
        <row r="8">
          <cell r="A8" t="str">
            <v>AM</v>
          </cell>
          <cell r="B8">
            <v>1569832.62</v>
          </cell>
          <cell r="C8">
            <v>0</v>
          </cell>
          <cell r="D8">
            <v>1266159.31</v>
          </cell>
          <cell r="E8">
            <v>22039.62</v>
          </cell>
          <cell r="F8">
            <v>2755530.2</v>
          </cell>
          <cell r="G8">
            <v>2004636.7</v>
          </cell>
          <cell r="H8">
            <v>2910088.69</v>
          </cell>
          <cell r="I8">
            <v>183843.20000000001</v>
          </cell>
          <cell r="J8">
            <v>129061.71</v>
          </cell>
          <cell r="K8">
            <v>14232.4</v>
          </cell>
          <cell r="L8">
            <v>2950637.78</v>
          </cell>
          <cell r="M8">
            <v>1503308.08</v>
          </cell>
          <cell r="N8">
            <v>1814173.98</v>
          </cell>
          <cell r="O8">
            <v>1607809.25</v>
          </cell>
          <cell r="P8">
            <v>1604809.25</v>
          </cell>
          <cell r="Q8">
            <v>670582.67000000004</v>
          </cell>
          <cell r="R8">
            <v>0</v>
          </cell>
          <cell r="S8">
            <v>2385.1999999999998</v>
          </cell>
          <cell r="T8">
            <v>0</v>
          </cell>
          <cell r="U8">
            <v>281633.68999999994</v>
          </cell>
          <cell r="V8">
            <v>281633.68999999994</v>
          </cell>
          <cell r="W8">
            <v>303673.31000000006</v>
          </cell>
          <cell r="X8">
            <v>750893.50000000023</v>
          </cell>
          <cell r="Y8">
            <v>1682727.07</v>
          </cell>
        </row>
        <row r="9">
          <cell r="A9" t="str">
            <v>AP</v>
          </cell>
          <cell r="B9">
            <v>1375157.34</v>
          </cell>
          <cell r="C9">
            <v>0</v>
          </cell>
          <cell r="D9">
            <v>1280804.76</v>
          </cell>
          <cell r="E9">
            <v>338648.12</v>
          </cell>
          <cell r="F9">
            <v>1781941.2</v>
          </cell>
          <cell r="G9">
            <v>1329830.31</v>
          </cell>
          <cell r="H9">
            <v>1615854.27</v>
          </cell>
          <cell r="I9">
            <v>653370.29</v>
          </cell>
          <cell r="J9">
            <v>111095.1</v>
          </cell>
          <cell r="K9">
            <v>0</v>
          </cell>
          <cell r="L9">
            <v>2158129.46</v>
          </cell>
          <cell r="M9">
            <v>1039511.25</v>
          </cell>
          <cell r="N9">
            <v>1001127.64</v>
          </cell>
          <cell r="O9">
            <v>1372513.53</v>
          </cell>
          <cell r="P9">
            <v>1372513.53</v>
          </cell>
          <cell r="Q9">
            <v>747582.07</v>
          </cell>
          <cell r="R9">
            <v>113873.53000000003</v>
          </cell>
          <cell r="S9">
            <v>0</v>
          </cell>
          <cell r="T9">
            <v>0</v>
          </cell>
          <cell r="U9">
            <v>-244295.5399999998</v>
          </cell>
          <cell r="V9">
            <v>-130422.00999999978</v>
          </cell>
          <cell r="W9">
            <v>94352.580000000075</v>
          </cell>
          <cell r="X9">
            <v>452110.8899999999</v>
          </cell>
          <cell r="Y9">
            <v>890032.54</v>
          </cell>
        </row>
        <row r="10">
          <cell r="A10" t="str">
            <v>BA</v>
          </cell>
          <cell r="B10">
            <v>5856813.2400000002</v>
          </cell>
          <cell r="C10">
            <v>0</v>
          </cell>
          <cell r="D10">
            <v>3318578.31</v>
          </cell>
          <cell r="E10">
            <v>204530</v>
          </cell>
          <cell r="F10">
            <v>7508364.9800000004</v>
          </cell>
          <cell r="G10">
            <v>3095906.34</v>
          </cell>
          <cell r="H10">
            <v>14229950.48</v>
          </cell>
          <cell r="I10">
            <v>676908.77</v>
          </cell>
          <cell r="J10">
            <v>246891.07</v>
          </cell>
          <cell r="K10">
            <v>0</v>
          </cell>
          <cell r="L10">
            <v>14659968.18</v>
          </cell>
          <cell r="M10">
            <v>8897525.9800000004</v>
          </cell>
          <cell r="N10">
            <v>11747075.630000001</v>
          </cell>
          <cell r="O10">
            <v>4997229.8899999997</v>
          </cell>
          <cell r="P10">
            <v>4955922.9400000004</v>
          </cell>
          <cell r="Q10">
            <v>1416936.42</v>
          </cell>
          <cell r="S10">
            <v>522737.48</v>
          </cell>
          <cell r="T10">
            <v>0</v>
          </cell>
          <cell r="U10">
            <v>2333704.9300000002</v>
          </cell>
          <cell r="V10">
            <v>2333704.9300000002</v>
          </cell>
          <cell r="W10">
            <v>2538234.9300000002</v>
          </cell>
          <cell r="X10">
            <v>4412458.6400000006</v>
          </cell>
          <cell r="Y10">
            <v>10977447.08</v>
          </cell>
        </row>
        <row r="11">
          <cell r="A11" t="str">
            <v>CE</v>
          </cell>
          <cell r="B11">
            <v>3681202.25</v>
          </cell>
          <cell r="C11">
            <v>0</v>
          </cell>
          <cell r="D11">
            <v>2457641.2200000002</v>
          </cell>
          <cell r="E11">
            <v>84690.9</v>
          </cell>
          <cell r="F11">
            <v>4424037.38</v>
          </cell>
          <cell r="G11">
            <v>2481405.7999999998</v>
          </cell>
          <cell r="H11">
            <v>5679112.8899999997</v>
          </cell>
          <cell r="I11">
            <v>185777.39</v>
          </cell>
          <cell r="J11">
            <v>221252.13</v>
          </cell>
          <cell r="K11">
            <v>2051.8000000000002</v>
          </cell>
          <cell r="L11">
            <v>5641586.3499999996</v>
          </cell>
          <cell r="M11">
            <v>2335269.98</v>
          </cell>
          <cell r="N11">
            <v>3521681.29</v>
          </cell>
          <cell r="O11">
            <v>2976119</v>
          </cell>
          <cell r="P11">
            <v>2963619.02</v>
          </cell>
          <cell r="Q11">
            <v>1181331.27</v>
          </cell>
          <cell r="S11">
            <v>41174.699999999997</v>
          </cell>
          <cell r="T11">
            <v>0</v>
          </cell>
          <cell r="U11">
            <v>1138870.1299999999</v>
          </cell>
          <cell r="V11">
            <v>1138870.1299999999</v>
          </cell>
          <cell r="W11">
            <v>1223561.0299999998</v>
          </cell>
          <cell r="X11">
            <v>1942631.58</v>
          </cell>
          <cell r="Y11">
            <v>3259254.46</v>
          </cell>
        </row>
        <row r="12">
          <cell r="A12" t="str">
            <v>DF</v>
          </cell>
          <cell r="B12">
            <v>4807925.3499999996</v>
          </cell>
          <cell r="C12">
            <v>0</v>
          </cell>
          <cell r="D12">
            <v>4071653.73</v>
          </cell>
          <cell r="E12">
            <v>148673.9</v>
          </cell>
          <cell r="F12">
            <v>6396722.2000000002</v>
          </cell>
          <cell r="G12">
            <v>5093665.2</v>
          </cell>
          <cell r="H12">
            <v>4679764.72</v>
          </cell>
          <cell r="I12">
            <v>2099552.2400000002</v>
          </cell>
          <cell r="J12">
            <v>498820.73</v>
          </cell>
          <cell r="K12">
            <v>0</v>
          </cell>
          <cell r="L12">
            <v>6280496.2300000004</v>
          </cell>
          <cell r="M12">
            <v>1981084.44</v>
          </cell>
          <cell r="N12">
            <v>2658866.27</v>
          </cell>
          <cell r="O12">
            <v>4473114.58</v>
          </cell>
          <cell r="P12">
            <v>4443904.4800000004</v>
          </cell>
          <cell r="Q12">
            <v>2225865.1</v>
          </cell>
          <cell r="S12">
            <v>411555.57</v>
          </cell>
          <cell r="T12">
            <v>0</v>
          </cell>
          <cell r="U12">
            <v>587597.71999999974</v>
          </cell>
          <cell r="V12">
            <v>587597.71999999974</v>
          </cell>
          <cell r="W12">
            <v>736271.61999999965</v>
          </cell>
          <cell r="X12">
            <v>1303057</v>
          </cell>
          <cell r="Y12">
            <v>1748489.97</v>
          </cell>
        </row>
        <row r="13">
          <cell r="A13" t="str">
            <v>ES</v>
          </cell>
          <cell r="B13">
            <v>3769250.8</v>
          </cell>
          <cell r="C13">
            <v>0</v>
          </cell>
          <cell r="D13">
            <v>3277096.81</v>
          </cell>
          <cell r="E13">
            <v>2687297.18</v>
          </cell>
          <cell r="F13">
            <v>4175597.37</v>
          </cell>
          <cell r="G13">
            <v>3567564.15</v>
          </cell>
          <cell r="H13">
            <v>1492716.61</v>
          </cell>
          <cell r="I13">
            <v>3006120.3</v>
          </cell>
          <cell r="J13">
            <v>320610.01</v>
          </cell>
          <cell r="K13">
            <v>0</v>
          </cell>
          <cell r="L13">
            <v>4178226.9</v>
          </cell>
          <cell r="M13">
            <v>3071632.94</v>
          </cell>
          <cell r="N13">
            <v>937022.41</v>
          </cell>
          <cell r="O13">
            <v>3744548.48</v>
          </cell>
          <cell r="P13">
            <v>3653548.48</v>
          </cell>
          <cell r="Q13">
            <v>1663990.25</v>
          </cell>
          <cell r="S13">
            <v>47722.25</v>
          </cell>
          <cell r="T13">
            <v>0</v>
          </cell>
          <cell r="U13">
            <v>-2195143.1900000004</v>
          </cell>
          <cell r="V13">
            <v>-2195143.1900000004</v>
          </cell>
          <cell r="W13">
            <v>492153.98999999976</v>
          </cell>
          <cell r="X13">
            <v>608033.2200000002</v>
          </cell>
          <cell r="Y13">
            <v>568690.15</v>
          </cell>
        </row>
        <row r="14">
          <cell r="A14" t="str">
            <v>GO</v>
          </cell>
          <cell r="B14">
            <v>5587680.1799999997</v>
          </cell>
          <cell r="D14">
            <v>4122547.22</v>
          </cell>
          <cell r="E14">
            <v>5608.61</v>
          </cell>
          <cell r="F14">
            <v>8119591.4500000002</v>
          </cell>
          <cell r="G14">
            <v>5993517.79</v>
          </cell>
          <cell r="H14">
            <v>7441681.3700000001</v>
          </cell>
          <cell r="I14">
            <v>2306807.46</v>
          </cell>
          <cell r="J14">
            <v>452022.37</v>
          </cell>
          <cell r="K14">
            <v>10392.209999999999</v>
          </cell>
          <cell r="L14">
            <v>9286144.0700000003</v>
          </cell>
          <cell r="M14">
            <v>3687679.98</v>
          </cell>
          <cell r="N14">
            <v>5049651.1500000004</v>
          </cell>
          <cell r="O14">
            <v>5324814.59</v>
          </cell>
          <cell r="P14">
            <v>5324814.59</v>
          </cell>
          <cell r="Q14">
            <v>2267945.94</v>
          </cell>
          <cell r="S14">
            <v>188617.69</v>
          </cell>
          <cell r="T14">
            <v>0</v>
          </cell>
          <cell r="U14">
            <v>1459524.3499999996</v>
          </cell>
          <cell r="V14">
            <v>1459524.3499999996</v>
          </cell>
          <cell r="W14">
            <v>1465132.9599999995</v>
          </cell>
          <cell r="X14">
            <v>2126073.66</v>
          </cell>
          <cell r="Y14">
            <v>4409011.09</v>
          </cell>
        </row>
        <row r="15">
          <cell r="A15" t="str">
            <v>MA</v>
          </cell>
          <cell r="B15">
            <v>1538225.04</v>
          </cell>
          <cell r="C15">
            <v>0</v>
          </cell>
          <cell r="D15">
            <v>1409546.14</v>
          </cell>
          <cell r="E15">
            <v>166489</v>
          </cell>
          <cell r="F15">
            <v>3264448.04</v>
          </cell>
          <cell r="G15">
            <v>3205199</v>
          </cell>
          <cell r="H15">
            <v>1576830.61</v>
          </cell>
          <cell r="I15">
            <v>892203.49</v>
          </cell>
          <cell r="J15">
            <v>283098.34999999998</v>
          </cell>
          <cell r="K15">
            <v>831264</v>
          </cell>
          <cell r="L15">
            <v>1354671.75</v>
          </cell>
          <cell r="M15">
            <v>532787.26</v>
          </cell>
          <cell r="N15">
            <v>492863.5</v>
          </cell>
          <cell r="O15">
            <v>1451259.99</v>
          </cell>
          <cell r="P15">
            <v>1472985.36</v>
          </cell>
          <cell r="Q15">
            <v>729078.45</v>
          </cell>
          <cell r="R15">
            <v>5864.6300000000047</v>
          </cell>
          <cell r="S15">
            <v>0</v>
          </cell>
          <cell r="T15">
            <v>0</v>
          </cell>
          <cell r="U15">
            <v>-37810.09999999986</v>
          </cell>
          <cell r="V15">
            <v>-31945.469999999972</v>
          </cell>
          <cell r="W15">
            <v>128678.90000000014</v>
          </cell>
          <cell r="X15">
            <v>59249.040000000037</v>
          </cell>
          <cell r="Y15">
            <v>209765.15000000002</v>
          </cell>
        </row>
        <row r="16">
          <cell r="A16" t="str">
            <v>MG</v>
          </cell>
          <cell r="B16">
            <v>14603567.02</v>
          </cell>
          <cell r="C16">
            <v>0</v>
          </cell>
          <cell r="D16">
            <v>10736089.609999999</v>
          </cell>
          <cell r="E16">
            <v>99485</v>
          </cell>
          <cell r="F16">
            <v>18959900.57</v>
          </cell>
          <cell r="G16">
            <v>13370788.67</v>
          </cell>
          <cell r="H16">
            <v>24002031.73</v>
          </cell>
          <cell r="I16">
            <v>348304.72</v>
          </cell>
          <cell r="J16">
            <v>1226025.32</v>
          </cell>
          <cell r="K16">
            <v>131750</v>
          </cell>
          <cell r="L16">
            <v>22992561.129999999</v>
          </cell>
          <cell r="M16">
            <v>14327955.93</v>
          </cell>
          <cell r="N16">
            <v>18303845.02</v>
          </cell>
          <cell r="O16">
            <v>13152358.890000001</v>
          </cell>
          <cell r="P16">
            <v>12874370.890000001</v>
          </cell>
          <cell r="Q16">
            <v>5654763.7199999997</v>
          </cell>
          <cell r="S16">
            <v>105000</v>
          </cell>
          <cell r="T16">
            <v>0</v>
          </cell>
          <cell r="U16">
            <v>3767992.41</v>
          </cell>
          <cell r="V16">
            <v>3767992.41</v>
          </cell>
          <cell r="W16">
            <v>3867477.41</v>
          </cell>
          <cell r="X16">
            <v>5589111.9000000004</v>
          </cell>
          <cell r="Y16">
            <v>16972819.699999999</v>
          </cell>
        </row>
        <row r="17">
          <cell r="A17" t="str">
            <v>MS</v>
          </cell>
          <cell r="B17">
            <v>3540001.62</v>
          </cell>
          <cell r="C17">
            <v>0</v>
          </cell>
          <cell r="D17">
            <v>2835126.71</v>
          </cell>
          <cell r="E17">
            <v>204229.1</v>
          </cell>
          <cell r="F17">
            <v>5404117.7300000004</v>
          </cell>
          <cell r="G17">
            <v>4268446.51</v>
          </cell>
          <cell r="H17">
            <v>4147545.49</v>
          </cell>
          <cell r="I17">
            <v>915214.14</v>
          </cell>
          <cell r="J17">
            <v>528652.81999999995</v>
          </cell>
          <cell r="K17">
            <v>0</v>
          </cell>
          <cell r="L17">
            <v>4534106.8099999996</v>
          </cell>
          <cell r="M17">
            <v>1893112.15</v>
          </cell>
          <cell r="N17">
            <v>2374869.69</v>
          </cell>
          <cell r="O17">
            <v>3717696.11</v>
          </cell>
          <cell r="P17">
            <v>3877696.11</v>
          </cell>
          <cell r="Q17">
            <v>1623268.78</v>
          </cell>
          <cell r="S17">
            <v>0</v>
          </cell>
          <cell r="U17">
            <v>500645.81000000006</v>
          </cell>
          <cell r="V17">
            <v>500645.81000000006</v>
          </cell>
          <cell r="W17">
            <v>704874.91000000015</v>
          </cell>
          <cell r="X17">
            <v>1135671.2200000007</v>
          </cell>
          <cell r="Y17">
            <v>1846216.87</v>
          </cell>
        </row>
        <row r="18">
          <cell r="A18" t="str">
            <v>MT</v>
          </cell>
          <cell r="B18">
            <v>4569192.8499999996</v>
          </cell>
          <cell r="C18">
            <v>0</v>
          </cell>
          <cell r="D18">
            <v>4647549.3</v>
          </cell>
          <cell r="E18">
            <v>493678.4</v>
          </cell>
          <cell r="F18">
            <v>5976088.6200000001</v>
          </cell>
          <cell r="G18">
            <v>5712315.5599999996</v>
          </cell>
          <cell r="H18">
            <v>3900115.24</v>
          </cell>
          <cell r="I18">
            <v>2222248.17</v>
          </cell>
          <cell r="J18">
            <v>392339.95</v>
          </cell>
          <cell r="K18">
            <v>55669.74</v>
          </cell>
          <cell r="L18">
            <v>5674353.7199999997</v>
          </cell>
          <cell r="M18">
            <v>2937694.91</v>
          </cell>
          <cell r="N18">
            <v>2459005.13</v>
          </cell>
          <cell r="O18">
            <v>4824397.0199999996</v>
          </cell>
          <cell r="P18">
            <v>4984397.0199999996</v>
          </cell>
          <cell r="Q18">
            <v>2222357.88</v>
          </cell>
          <cell r="S18">
            <v>59000</v>
          </cell>
          <cell r="U18">
            <v>-572034.85000000056</v>
          </cell>
          <cell r="V18">
            <v>-572034.85000000056</v>
          </cell>
          <cell r="W18">
            <v>-78356.450000000186</v>
          </cell>
          <cell r="X18">
            <v>263773.06000000052</v>
          </cell>
          <cell r="Y18">
            <v>2007665.18</v>
          </cell>
        </row>
        <row r="19">
          <cell r="A19" t="str">
            <v>PA</v>
          </cell>
          <cell r="B19">
            <v>2307875.48</v>
          </cell>
          <cell r="C19">
            <v>0</v>
          </cell>
          <cell r="D19">
            <v>1923504.21</v>
          </cell>
          <cell r="E19">
            <v>61074.9</v>
          </cell>
          <cell r="F19">
            <v>4151063</v>
          </cell>
          <cell r="G19">
            <v>3324189.29</v>
          </cell>
          <cell r="H19">
            <v>3902793.77</v>
          </cell>
          <cell r="I19">
            <v>1106934.94</v>
          </cell>
          <cell r="J19">
            <v>158064.92000000001</v>
          </cell>
          <cell r="K19">
            <v>0</v>
          </cell>
          <cell r="L19">
            <v>4851663.79</v>
          </cell>
          <cell r="M19">
            <v>1914840.85</v>
          </cell>
          <cell r="N19">
            <v>2269296.4300000002</v>
          </cell>
          <cell r="O19">
            <v>2217096.75</v>
          </cell>
          <cell r="P19">
            <v>2215948.59</v>
          </cell>
          <cell r="Q19">
            <v>982356.87</v>
          </cell>
          <cell r="S19">
            <v>0</v>
          </cell>
          <cell r="U19">
            <v>323296.37000000011</v>
          </cell>
          <cell r="V19">
            <v>323296.37000000011</v>
          </cell>
          <cell r="W19">
            <v>384371.27</v>
          </cell>
          <cell r="X19">
            <v>826873.71</v>
          </cell>
          <cell r="Y19">
            <v>2111231.5100000002</v>
          </cell>
        </row>
        <row r="20">
          <cell r="A20" t="str">
            <v>PB</v>
          </cell>
          <cell r="B20">
            <v>2635313.2000000002</v>
          </cell>
          <cell r="C20">
            <v>0</v>
          </cell>
          <cell r="D20">
            <v>1976309.06</v>
          </cell>
          <cell r="E20">
            <v>9784</v>
          </cell>
          <cell r="F20">
            <v>3577634.41</v>
          </cell>
          <cell r="G20">
            <v>2006306.06</v>
          </cell>
          <cell r="H20">
            <v>4207369.04</v>
          </cell>
          <cell r="I20">
            <v>80552.72</v>
          </cell>
          <cell r="J20">
            <v>96207.75</v>
          </cell>
          <cell r="K20">
            <v>20000</v>
          </cell>
          <cell r="L20">
            <v>4171714.01</v>
          </cell>
          <cell r="M20">
            <v>1962900.59</v>
          </cell>
          <cell r="N20">
            <v>2612356.23</v>
          </cell>
          <cell r="O20">
            <v>2252908.15</v>
          </cell>
          <cell r="P20">
            <v>2277673.17</v>
          </cell>
          <cell r="Q20">
            <v>1000461.2</v>
          </cell>
          <cell r="S20">
            <v>0</v>
          </cell>
          <cell r="U20">
            <v>649220.14000000013</v>
          </cell>
          <cell r="V20">
            <v>649220.14000000013</v>
          </cell>
          <cell r="W20">
            <v>659004.14000000013</v>
          </cell>
          <cell r="X20">
            <v>1571328.35</v>
          </cell>
          <cell r="Y20">
            <v>2516148.48</v>
          </cell>
        </row>
        <row r="21">
          <cell r="A21" t="str">
            <v>PE</v>
          </cell>
          <cell r="B21">
            <v>4236999.6399999997</v>
          </cell>
          <cell r="C21">
            <v>0</v>
          </cell>
          <cell r="D21">
            <v>3861713.33</v>
          </cell>
          <cell r="E21">
            <v>0</v>
          </cell>
          <cell r="F21">
            <v>5623734.3499999996</v>
          </cell>
          <cell r="G21">
            <v>4491033</v>
          </cell>
          <cell r="H21">
            <v>4063711.43</v>
          </cell>
          <cell r="I21">
            <v>209794.24</v>
          </cell>
          <cell r="J21">
            <v>282275.56</v>
          </cell>
          <cell r="L21">
            <v>3991230.11</v>
          </cell>
          <cell r="M21">
            <v>1807002.09</v>
          </cell>
          <cell r="N21">
            <v>2170906.77</v>
          </cell>
          <cell r="O21">
            <v>4346685.72</v>
          </cell>
          <cell r="P21">
            <v>4346685.72</v>
          </cell>
          <cell r="Q21">
            <v>1788176.16</v>
          </cell>
          <cell r="S21">
            <v>106024.52</v>
          </cell>
          <cell r="U21">
            <v>375286.30999999959</v>
          </cell>
          <cell r="V21">
            <v>375286.30999999959</v>
          </cell>
          <cell r="W21">
            <v>375286.30999999959</v>
          </cell>
          <cell r="X21">
            <v>1132701.3499999996</v>
          </cell>
          <cell r="Y21">
            <v>1782606.69</v>
          </cell>
        </row>
        <row r="22">
          <cell r="A22" t="str">
            <v>PI</v>
          </cell>
          <cell r="B22">
            <v>1405470.73</v>
          </cell>
          <cell r="C22">
            <v>18438.32</v>
          </cell>
          <cell r="D22">
            <v>1506409.92</v>
          </cell>
          <cell r="E22">
            <v>7993</v>
          </cell>
          <cell r="F22">
            <v>2037319.87</v>
          </cell>
          <cell r="G22">
            <v>2031321.03</v>
          </cell>
          <cell r="H22">
            <v>702548.61</v>
          </cell>
          <cell r="I22">
            <v>218766.11</v>
          </cell>
          <cell r="J22">
            <v>109989.31</v>
          </cell>
          <cell r="L22">
            <v>811325.41</v>
          </cell>
          <cell r="M22">
            <v>367542.22</v>
          </cell>
          <cell r="N22">
            <v>164940.17000000001</v>
          </cell>
          <cell r="O22">
            <v>1536843.51</v>
          </cell>
          <cell r="P22">
            <v>1536843.51</v>
          </cell>
          <cell r="Q22">
            <v>924861.11</v>
          </cell>
          <cell r="S22">
            <v>0</v>
          </cell>
          <cell r="U22">
            <v>-90493.869999999879</v>
          </cell>
          <cell r="V22">
            <v>-90493.869999999879</v>
          </cell>
          <cell r="W22">
            <v>-100939.18999999994</v>
          </cell>
          <cell r="X22">
            <v>5998.8400000000838</v>
          </cell>
          <cell r="Y22">
            <v>54950.860000000015</v>
          </cell>
        </row>
        <row r="23">
          <cell r="A23" t="str">
            <v>PR</v>
          </cell>
          <cell r="B23">
            <v>14523127.02</v>
          </cell>
          <cell r="C23">
            <v>0</v>
          </cell>
          <cell r="D23">
            <v>12748720.060000001</v>
          </cell>
          <cell r="E23">
            <v>79082.87</v>
          </cell>
          <cell r="F23">
            <v>19111380.890000001</v>
          </cell>
          <cell r="G23">
            <v>15275645.17</v>
          </cell>
          <cell r="H23">
            <v>23312374.140000001</v>
          </cell>
          <cell r="I23">
            <v>6310792.0899999999</v>
          </cell>
          <cell r="J23">
            <v>1427145.82</v>
          </cell>
          <cell r="L23">
            <v>28196020.41</v>
          </cell>
          <cell r="M23">
            <v>17342212.5</v>
          </cell>
          <cell r="N23">
            <v>19350915.59</v>
          </cell>
          <cell r="O23">
            <v>13845804.800000001</v>
          </cell>
          <cell r="P23">
            <v>15079300.310000001</v>
          </cell>
          <cell r="Q23">
            <v>6584928.8899999997</v>
          </cell>
          <cell r="S23">
            <v>721892.71</v>
          </cell>
          <cell r="T23">
            <v>119108.11</v>
          </cell>
          <cell r="U23">
            <v>1695324.0899999999</v>
          </cell>
          <cell r="V23">
            <v>1695324.0899999999</v>
          </cell>
          <cell r="W23">
            <v>1774406.959999999</v>
          </cell>
          <cell r="X23">
            <v>3835735.7200000007</v>
          </cell>
          <cell r="Y23">
            <v>17082768.949999999</v>
          </cell>
        </row>
        <row r="24">
          <cell r="A24" t="str">
            <v>RJ</v>
          </cell>
          <cell r="B24">
            <v>13866401.67</v>
          </cell>
          <cell r="C24">
            <v>0</v>
          </cell>
          <cell r="D24">
            <v>12501739.859999999</v>
          </cell>
          <cell r="E24">
            <v>731980.48</v>
          </cell>
          <cell r="F24">
            <v>20639904.050000001</v>
          </cell>
          <cell r="G24">
            <v>21233539.75</v>
          </cell>
          <cell r="H24">
            <v>17107649.550000001</v>
          </cell>
          <cell r="I24">
            <v>8691993.3499999996</v>
          </cell>
          <cell r="J24">
            <v>2491318.81</v>
          </cell>
          <cell r="K24">
            <v>34853.620000000003</v>
          </cell>
          <cell r="L24">
            <v>23273470.469999999</v>
          </cell>
          <cell r="M24">
            <v>10803651.439999999</v>
          </cell>
          <cell r="N24">
            <v>11817679.84</v>
          </cell>
          <cell r="O24">
            <v>13857813.630000001</v>
          </cell>
          <cell r="P24">
            <v>14482326.529999999</v>
          </cell>
          <cell r="Q24">
            <v>6706427.0199999996</v>
          </cell>
          <cell r="S24">
            <v>211145.7</v>
          </cell>
          <cell r="T24">
            <v>0</v>
          </cell>
          <cell r="U24">
            <v>632681.33000000007</v>
          </cell>
          <cell r="V24">
            <v>632681.33000000007</v>
          </cell>
          <cell r="W24">
            <v>1364661.8100000005</v>
          </cell>
          <cell r="X24">
            <v>-593635.69999999925</v>
          </cell>
          <cell r="Y24">
            <v>9115215.3300000001</v>
          </cell>
        </row>
        <row r="25">
          <cell r="A25" t="str">
            <v>RN</v>
          </cell>
          <cell r="B25">
            <v>1993341.25</v>
          </cell>
          <cell r="C25">
            <v>0</v>
          </cell>
          <cell r="D25">
            <v>1926758.33</v>
          </cell>
          <cell r="E25">
            <v>204007.4</v>
          </cell>
          <cell r="F25">
            <v>2789042.31</v>
          </cell>
          <cell r="G25">
            <v>2068544.26</v>
          </cell>
          <cell r="H25">
            <v>2649138.89</v>
          </cell>
          <cell r="I25">
            <v>999356.7</v>
          </cell>
          <cell r="J25">
            <v>170612.48000000001</v>
          </cell>
          <cell r="K25">
            <v>0</v>
          </cell>
          <cell r="L25">
            <v>3477883.11</v>
          </cell>
          <cell r="M25">
            <v>1556612.31</v>
          </cell>
          <cell r="N25">
            <v>1441777.44</v>
          </cell>
          <cell r="O25">
            <v>2112118.34</v>
          </cell>
          <cell r="P25">
            <v>2090149.33</v>
          </cell>
          <cell r="Q25">
            <v>974617.16</v>
          </cell>
          <cell r="S25">
            <v>0</v>
          </cell>
          <cell r="T25">
            <v>0</v>
          </cell>
          <cell r="U25">
            <v>-137424.47999999998</v>
          </cell>
          <cell r="V25">
            <v>-137424.47999999998</v>
          </cell>
          <cell r="W25">
            <v>66582.919999999925</v>
          </cell>
          <cell r="X25">
            <v>720498.05</v>
          </cell>
          <cell r="Y25">
            <v>1271164.96</v>
          </cell>
        </row>
        <row r="26">
          <cell r="A26" t="str">
            <v>RO</v>
          </cell>
          <cell r="B26">
            <v>1622271.19</v>
          </cell>
          <cell r="C26">
            <v>0</v>
          </cell>
          <cell r="D26">
            <v>1287927.31</v>
          </cell>
          <cell r="E26">
            <v>222449.96</v>
          </cell>
          <cell r="F26">
            <v>2107689.16</v>
          </cell>
          <cell r="G26">
            <v>1557281.61</v>
          </cell>
          <cell r="H26">
            <v>2279313.1</v>
          </cell>
          <cell r="I26">
            <v>468061.1</v>
          </cell>
          <cell r="J26">
            <v>148880.4</v>
          </cell>
          <cell r="K26">
            <v>0</v>
          </cell>
          <cell r="L26">
            <v>2598493.7999999998</v>
          </cell>
          <cell r="M26">
            <v>1664039.12</v>
          </cell>
          <cell r="N26">
            <v>1836122.29</v>
          </cell>
          <cell r="O26">
            <v>1572733.17</v>
          </cell>
          <cell r="P26">
            <v>1569587.49</v>
          </cell>
          <cell r="Q26">
            <v>624718.21</v>
          </cell>
          <cell r="S26">
            <v>0</v>
          </cell>
          <cell r="U26">
            <v>111893.91999999993</v>
          </cell>
          <cell r="V26">
            <v>111893.91999999993</v>
          </cell>
          <cell r="W26">
            <v>334343.87999999989</v>
          </cell>
          <cell r="X26">
            <v>550407.55000000005</v>
          </cell>
          <cell r="Y26">
            <v>1687241.8900000001</v>
          </cell>
        </row>
        <row r="27">
          <cell r="A27" t="str">
            <v>RR</v>
          </cell>
          <cell r="B27">
            <v>1228359.6399999999</v>
          </cell>
          <cell r="C27">
            <v>0</v>
          </cell>
          <cell r="D27">
            <v>1174318.81</v>
          </cell>
          <cell r="E27">
            <v>0</v>
          </cell>
          <cell r="F27">
            <v>1320676.3600000001</v>
          </cell>
          <cell r="G27">
            <v>1197653.8999999999</v>
          </cell>
          <cell r="H27">
            <v>382536.35</v>
          </cell>
          <cell r="I27">
            <v>225986.97</v>
          </cell>
          <cell r="J27">
            <v>95314.1</v>
          </cell>
          <cell r="K27">
            <v>0</v>
          </cell>
          <cell r="L27">
            <v>513209.22</v>
          </cell>
          <cell r="M27">
            <v>137042.84</v>
          </cell>
          <cell r="N27">
            <v>204995.75</v>
          </cell>
          <cell r="O27">
            <v>1236432.1599999999</v>
          </cell>
          <cell r="P27">
            <v>1308861.45</v>
          </cell>
          <cell r="Q27">
            <v>654203.36</v>
          </cell>
          <cell r="R27">
            <v>25056.170000000042</v>
          </cell>
          <cell r="S27">
            <v>0</v>
          </cell>
          <cell r="U27">
            <v>54040.829999999842</v>
          </cell>
          <cell r="V27">
            <v>79097</v>
          </cell>
          <cell r="W27">
            <v>54040.829999999842</v>
          </cell>
          <cell r="X27">
            <v>123022.4600000002</v>
          </cell>
          <cell r="Y27">
            <v>109681.65</v>
          </cell>
        </row>
        <row r="28">
          <cell r="A28" t="str">
            <v>RS</v>
          </cell>
          <cell r="B28">
            <v>18579955.760000002</v>
          </cell>
          <cell r="D28">
            <v>18516030.010000002</v>
          </cell>
          <cell r="E28">
            <v>950351.81</v>
          </cell>
          <cell r="F28">
            <v>21393596.91</v>
          </cell>
          <cell r="G28">
            <v>20626717.510000002</v>
          </cell>
          <cell r="H28">
            <v>26075239.969999999</v>
          </cell>
          <cell r="I28">
            <v>8157233.3899999997</v>
          </cell>
          <cell r="J28">
            <v>1928835.89</v>
          </cell>
          <cell r="K28">
            <v>148119.51</v>
          </cell>
          <cell r="L28">
            <v>32155517.960000001</v>
          </cell>
          <cell r="M28">
            <v>22484539.100000001</v>
          </cell>
          <cell r="N28">
            <v>22386991.350000001</v>
          </cell>
          <cell r="O28">
            <v>18434283.93</v>
          </cell>
          <cell r="P28">
            <v>21469523.93</v>
          </cell>
          <cell r="Q28">
            <v>10011612.720000001</v>
          </cell>
          <cell r="S28">
            <v>1124570.3700000001</v>
          </cell>
          <cell r="T28">
            <v>0</v>
          </cell>
          <cell r="U28">
            <v>-886426.05999999866</v>
          </cell>
          <cell r="V28">
            <v>-886426.05999999866</v>
          </cell>
          <cell r="W28">
            <v>63925.75</v>
          </cell>
          <cell r="X28">
            <v>766879.39999999851</v>
          </cell>
          <cell r="Y28">
            <v>19333585.09</v>
          </cell>
        </row>
        <row r="29">
          <cell r="A29" t="str">
            <v>SC</v>
          </cell>
          <cell r="B29">
            <v>12664259.35</v>
          </cell>
          <cell r="D29">
            <v>9457677.3100000005</v>
          </cell>
          <cell r="E29">
            <v>7886752.1799999997</v>
          </cell>
          <cell r="F29">
            <v>14122008.07</v>
          </cell>
          <cell r="G29">
            <v>10798394.470000001</v>
          </cell>
          <cell r="H29">
            <v>12518785.880000001</v>
          </cell>
          <cell r="I29">
            <v>8217397.4000000004</v>
          </cell>
          <cell r="J29">
            <v>1584706.15</v>
          </cell>
          <cell r="K29">
            <v>7551.65</v>
          </cell>
          <cell r="L29">
            <v>19143925.48</v>
          </cell>
          <cell r="M29">
            <v>12691122.869999999</v>
          </cell>
          <cell r="N29">
            <v>8225571.6500000004</v>
          </cell>
          <cell r="O29">
            <v>11440757.1</v>
          </cell>
          <cell r="P29">
            <v>11435779.66</v>
          </cell>
          <cell r="Q29">
            <v>5089337.0999999996</v>
          </cell>
          <cell r="S29">
            <v>337749.3</v>
          </cell>
          <cell r="T29">
            <v>0</v>
          </cell>
          <cell r="U29">
            <v>-4680170.1400000025</v>
          </cell>
          <cell r="V29">
            <v>-4680170.1400000025</v>
          </cell>
          <cell r="W29">
            <v>3206582.0399999991</v>
          </cell>
          <cell r="X29">
            <v>3323613.5999999996</v>
          </cell>
          <cell r="Y29">
            <v>6303116.2000000002</v>
          </cell>
        </row>
        <row r="30">
          <cell r="A30" t="str">
            <v>SE</v>
          </cell>
          <cell r="B30">
            <v>1645019.18</v>
          </cell>
          <cell r="D30">
            <v>1539014.06</v>
          </cell>
          <cell r="E30">
            <v>606225.31000000006</v>
          </cell>
          <cell r="F30">
            <v>2137904.31</v>
          </cell>
          <cell r="G30">
            <v>1692604.15</v>
          </cell>
          <cell r="H30">
            <v>1643319.23</v>
          </cell>
          <cell r="I30">
            <v>667046.32999999996</v>
          </cell>
          <cell r="J30">
            <v>91101.39</v>
          </cell>
          <cell r="K30">
            <v>0</v>
          </cell>
          <cell r="L30">
            <v>2219264.17</v>
          </cell>
          <cell r="M30">
            <v>1323054.42</v>
          </cell>
          <cell r="N30">
            <v>1009637.19</v>
          </cell>
          <cell r="O30">
            <v>1457769.83</v>
          </cell>
          <cell r="P30">
            <v>1741044.52</v>
          </cell>
          <cell r="Q30">
            <v>684733.87</v>
          </cell>
          <cell r="R30">
            <v>3441.9600000000064</v>
          </cell>
          <cell r="S30">
            <v>190307.53</v>
          </cell>
          <cell r="T30">
            <v>0</v>
          </cell>
          <cell r="U30">
            <v>-500220.19000000018</v>
          </cell>
          <cell r="V30">
            <v>-496778.23000000021</v>
          </cell>
          <cell r="W30">
            <v>106005.11999999988</v>
          </cell>
          <cell r="X30">
            <v>445300.16000000015</v>
          </cell>
          <cell r="Y30">
            <v>728228.2699999999</v>
          </cell>
        </row>
        <row r="31">
          <cell r="A31" t="str">
            <v>SP</v>
          </cell>
          <cell r="B31">
            <v>63929711</v>
          </cell>
          <cell r="D31">
            <v>49201660.450000003</v>
          </cell>
          <cell r="E31">
            <v>1567280.87</v>
          </cell>
          <cell r="F31">
            <v>83502295.709999993</v>
          </cell>
          <cell r="G31">
            <v>59363950.740000002</v>
          </cell>
          <cell r="H31">
            <v>99157178.590000004</v>
          </cell>
          <cell r="I31">
            <v>44428704.880000003</v>
          </cell>
          <cell r="J31">
            <v>5285925.3600000003</v>
          </cell>
          <cell r="K31">
            <v>142728</v>
          </cell>
          <cell r="L31">
            <v>138157230.11000001</v>
          </cell>
          <cell r="M31">
            <v>58527048.030000001</v>
          </cell>
          <cell r="N31">
            <v>76507318.900000006</v>
          </cell>
          <cell r="O31">
            <v>59115114.200000003</v>
          </cell>
          <cell r="P31">
            <v>63752252.5</v>
          </cell>
          <cell r="Q31">
            <v>19719534.899999999</v>
          </cell>
          <cell r="S31">
            <v>4989004.22</v>
          </cell>
          <cell r="T31">
            <v>0</v>
          </cell>
          <cell r="U31">
            <v>13160769.68</v>
          </cell>
          <cell r="V31">
            <v>13160769.68</v>
          </cell>
          <cell r="W31">
            <v>14728050.549999997</v>
          </cell>
          <cell r="X31">
            <v>24138344.969999991</v>
          </cell>
          <cell r="Y31">
            <v>66232389.320000008</v>
          </cell>
        </row>
        <row r="32">
          <cell r="A32" t="str">
            <v>TO</v>
          </cell>
          <cell r="B32">
            <v>1392976.3</v>
          </cell>
          <cell r="D32">
            <v>1125016.6299999999</v>
          </cell>
          <cell r="E32">
            <v>0</v>
          </cell>
          <cell r="F32">
            <v>1676970.74</v>
          </cell>
          <cell r="G32">
            <v>1159102.68</v>
          </cell>
          <cell r="H32">
            <v>1732570.2</v>
          </cell>
          <cell r="I32">
            <v>381400.86</v>
          </cell>
          <cell r="J32">
            <v>121437.09</v>
          </cell>
          <cell r="L32">
            <v>1992533.97</v>
          </cell>
          <cell r="M32">
            <v>1081062.01</v>
          </cell>
          <cell r="N32">
            <v>1290898.3500000001</v>
          </cell>
          <cell r="O32">
            <v>1399882.14</v>
          </cell>
          <cell r="P32">
            <v>1399882.14</v>
          </cell>
          <cell r="Q32">
            <v>729492.46</v>
          </cell>
          <cell r="R32">
            <v>56436.660000000033</v>
          </cell>
          <cell r="S32">
            <v>7547.9</v>
          </cell>
          <cell r="T32">
            <v>0</v>
          </cell>
          <cell r="U32">
            <v>267959.67000000016</v>
          </cell>
          <cell r="V32">
            <v>324396.33000000007</v>
          </cell>
          <cell r="W32">
            <v>267959.67000000016</v>
          </cell>
          <cell r="X32">
            <v>517868.06000000006</v>
          </cell>
          <cell r="Y32">
            <v>1161913.3600000001</v>
          </cell>
        </row>
        <row r="33">
          <cell r="Y33">
            <v>176317794.38</v>
          </cell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DRO 1"/>
      <sheetName val="QUADRO 2"/>
      <sheetName val="QUADRO 3"/>
      <sheetName val="QUADRO 4"/>
      <sheetName val="Simulação de %"/>
      <sheetName val="Estudos - Receita"/>
      <sheetName val="ANEXO I"/>
      <sheetName val="ANEXO II"/>
      <sheetName val="ANEXO III e Anexo IX"/>
      <sheetName val="Estudos - Quant. PF"/>
      <sheetName val="NOVOS EGRESSOS"/>
      <sheetName val="Estudos-Percentuais"/>
      <sheetName val="ANEXO IV"/>
      <sheetName val="ANEXO V"/>
      <sheetName val="Estudos - Quant. PJ"/>
      <sheetName val="ANEXO VI"/>
      <sheetName val="ANEXO VII"/>
      <sheetName val="ANEXO VIII"/>
      <sheetName val="ANEXO X Aporte FA"/>
      <sheetName val="ANEXO X.I Repasse FA"/>
      <sheetName val="ANEXO XI CSC Total"/>
      <sheetName val="ANEXO XI.I CSC RIA"/>
      <sheetName val="ANEXO XI.II CSC Essencial"/>
      <sheetName val="ANEXO XI.III - RIA Enc. dContas"/>
      <sheetName val="ANEXO XII"/>
      <sheetName val="XIII. TAXAS BANCÁRIAS"/>
      <sheetName val="NOVO SISCAF"/>
      <sheetName val="Gráficos e Tabelas"/>
      <sheetName val="Resumo - Ajuste pelos UFs"/>
      <sheetName val="Resumo"/>
      <sheetName val="QUADRO_1"/>
      <sheetName val="QUADRO_2"/>
      <sheetName val="QUADRO_3"/>
      <sheetName val="QUADRO_4"/>
      <sheetName val="Simulação_de_%"/>
      <sheetName val="Estudos_-_Receita"/>
      <sheetName val="ANEXO_I"/>
      <sheetName val="ANEXO_II"/>
      <sheetName val="ANEXO_III_e_Anexo_IX"/>
      <sheetName val="Estudos_-_Quant__PF"/>
      <sheetName val="NOVOS_EGRESSOS"/>
      <sheetName val="ANEXO_IV"/>
      <sheetName val="ANEXO_V"/>
      <sheetName val="Estudos_-_Quant__PJ"/>
      <sheetName val="ANEXO_VI"/>
      <sheetName val="ANEXO_VII"/>
      <sheetName val="ANEXO_VIII"/>
      <sheetName val="ANEXO_X_Aporte_FA"/>
      <sheetName val="ANEXO_X_I_Repasse_FA"/>
      <sheetName val="ANEXO_XI_CSC_Total"/>
      <sheetName val="ANEXO_XI_I_CSC_RIA"/>
      <sheetName val="ANEXO_XI_II_CSC_Essencial"/>
      <sheetName val="ANEXO_XI_III_-_RIA_Enc__dContas"/>
      <sheetName val="ANEXO_XII"/>
      <sheetName val="XIII__TAXAS_BANCÁRIAS"/>
      <sheetName val="NOVO_SISCAF"/>
      <sheetName val="Gráficos_e_Tabelas"/>
      <sheetName val="Resumo_-_Ajuste_pelos_UFs"/>
      <sheetName val="Resumo."/>
      <sheetName val="AÇÕES ESTRATÉGICAS - DESCRIÇÃO"/>
      <sheetName val="AÇÕES ESTRATÉGICAS - DESCRIÇÃO "/>
      <sheetName val="Validação de dad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XFB1">
            <v>0.05</v>
          </cell>
        </row>
        <row r="2">
          <cell r="XFB2">
            <v>0.1</v>
          </cell>
        </row>
        <row r="3">
          <cell r="XFB3">
            <v>0.15</v>
          </cell>
        </row>
        <row r="4">
          <cell r="XFB4">
            <v>0.2</v>
          </cell>
        </row>
        <row r="5">
          <cell r="XFB5">
            <v>0.25</v>
          </cell>
        </row>
        <row r="6">
          <cell r="XFB6">
            <v>0.3</v>
          </cell>
        </row>
        <row r="7">
          <cell r="XFB7">
            <v>0.35</v>
          </cell>
        </row>
        <row r="8">
          <cell r="XFB8">
            <v>0.4</v>
          </cell>
        </row>
        <row r="9">
          <cell r="XFB9">
            <v>0.45</v>
          </cell>
        </row>
        <row r="10">
          <cell r="XFB10">
            <v>0.5</v>
          </cell>
        </row>
        <row r="11">
          <cell r="XFB11">
            <v>0.55000000000000004</v>
          </cell>
        </row>
        <row r="12">
          <cell r="XFB12">
            <v>0.6</v>
          </cell>
        </row>
        <row r="13">
          <cell r="XFB13">
            <v>0.65</v>
          </cell>
        </row>
        <row r="14">
          <cell r="XFB14">
            <v>0.7</v>
          </cell>
        </row>
        <row r="15">
          <cell r="XFB15">
            <v>0.75</v>
          </cell>
        </row>
        <row r="16">
          <cell r="XFB16">
            <v>0.8</v>
          </cell>
        </row>
        <row r="17">
          <cell r="XFB17">
            <v>0.85</v>
          </cell>
        </row>
        <row r="18">
          <cell r="XFB18">
            <v>0.9</v>
          </cell>
        </row>
        <row r="19">
          <cell r="XFB19">
            <v>0.95</v>
          </cell>
        </row>
        <row r="20">
          <cell r="XFB20">
            <v>1</v>
          </cell>
        </row>
      </sheetData>
      <sheetData sheetId="6">
        <row r="5">
          <cell r="C5">
            <v>586</v>
          </cell>
        </row>
      </sheetData>
      <sheetData sheetId="7" refreshError="1"/>
      <sheetData sheetId="8">
        <row r="6">
          <cell r="AX6">
            <v>67439.888000000006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2">
          <cell r="J2" t="str">
            <v>PJ até 2 anos com sócio AU formado até 2 anos</v>
          </cell>
          <cell r="L2" t="str">
            <v>Relatório 14</v>
          </cell>
        </row>
        <row r="4">
          <cell r="L4" t="str">
            <v>Situação de Registro Ativo</v>
          </cell>
          <cell r="M4" t="str">
            <v>Inativos</v>
          </cell>
          <cell r="N4" t="str">
            <v>Pagantes</v>
          </cell>
          <cell r="O4" t="str">
            <v>0/1</v>
          </cell>
        </row>
        <row r="5">
          <cell r="N5">
            <v>32</v>
          </cell>
          <cell r="O5">
            <v>7</v>
          </cell>
        </row>
        <row r="6">
          <cell r="N6">
            <v>63</v>
          </cell>
          <cell r="O6">
            <v>12</v>
          </cell>
        </row>
        <row r="7">
          <cell r="N7">
            <v>37</v>
          </cell>
          <cell r="O7">
            <v>10</v>
          </cell>
        </row>
        <row r="8">
          <cell r="N8">
            <v>89</v>
          </cell>
          <cell r="O8">
            <v>12</v>
          </cell>
        </row>
        <row r="9">
          <cell r="N9">
            <v>56</v>
          </cell>
          <cell r="O9">
            <v>13</v>
          </cell>
        </row>
        <row r="10">
          <cell r="N10">
            <v>14</v>
          </cell>
          <cell r="O10">
            <v>0</v>
          </cell>
        </row>
        <row r="11">
          <cell r="N11">
            <v>41</v>
          </cell>
          <cell r="O11">
            <v>5</v>
          </cell>
        </row>
        <row r="12">
          <cell r="N12">
            <v>332</v>
          </cell>
          <cell r="O12">
            <v>59</v>
          </cell>
        </row>
        <row r="13">
          <cell r="N13">
            <v>41</v>
          </cell>
          <cell r="O13">
            <v>5</v>
          </cell>
        </row>
        <row r="14">
          <cell r="N14">
            <v>283</v>
          </cell>
          <cell r="O14">
            <v>28</v>
          </cell>
        </row>
        <row r="15">
          <cell r="N15">
            <v>139</v>
          </cell>
          <cell r="O15">
            <v>7</v>
          </cell>
        </row>
        <row r="16">
          <cell r="N16">
            <v>49</v>
          </cell>
          <cell r="O16">
            <v>5</v>
          </cell>
        </row>
        <row r="17">
          <cell r="N17">
            <v>87</v>
          </cell>
          <cell r="O17">
            <v>11</v>
          </cell>
        </row>
        <row r="18">
          <cell r="N18">
            <v>205</v>
          </cell>
          <cell r="O18">
            <v>19</v>
          </cell>
        </row>
        <row r="19">
          <cell r="N19">
            <v>70</v>
          </cell>
          <cell r="O19">
            <v>13</v>
          </cell>
        </row>
        <row r="20">
          <cell r="N20">
            <v>72</v>
          </cell>
          <cell r="O20">
            <v>6</v>
          </cell>
        </row>
        <row r="21">
          <cell r="N21">
            <v>57</v>
          </cell>
          <cell r="O21">
            <v>6</v>
          </cell>
        </row>
        <row r="22">
          <cell r="N22">
            <v>1003</v>
          </cell>
          <cell r="O22">
            <v>100</v>
          </cell>
        </row>
        <row r="23">
          <cell r="N23">
            <v>222</v>
          </cell>
          <cell r="O23">
            <v>27</v>
          </cell>
        </row>
        <row r="24">
          <cell r="N24">
            <v>212</v>
          </cell>
          <cell r="O24">
            <v>47</v>
          </cell>
        </row>
        <row r="25">
          <cell r="N25">
            <v>182</v>
          </cell>
          <cell r="O25">
            <v>26</v>
          </cell>
        </row>
        <row r="26">
          <cell r="N26">
            <v>172</v>
          </cell>
          <cell r="O26">
            <v>22</v>
          </cell>
        </row>
        <row r="27">
          <cell r="N27">
            <v>788</v>
          </cell>
          <cell r="O27">
            <v>122</v>
          </cell>
        </row>
        <row r="28">
          <cell r="N28">
            <v>225</v>
          </cell>
          <cell r="O28">
            <v>13</v>
          </cell>
        </row>
        <row r="29">
          <cell r="N29">
            <v>738</v>
          </cell>
          <cell r="O29">
            <v>69</v>
          </cell>
        </row>
        <row r="30">
          <cell r="N30">
            <v>1078</v>
          </cell>
          <cell r="O30">
            <v>82</v>
          </cell>
        </row>
        <row r="31">
          <cell r="N31">
            <v>3458</v>
          </cell>
          <cell r="O31">
            <v>154</v>
          </cell>
        </row>
        <row r="32">
          <cell r="N32">
            <v>5499</v>
          </cell>
          <cell r="O32">
            <v>318</v>
          </cell>
        </row>
        <row r="33">
          <cell r="N33">
            <v>1058</v>
          </cell>
          <cell r="O33">
            <v>125</v>
          </cell>
        </row>
        <row r="34">
          <cell r="N34">
            <v>949</v>
          </cell>
          <cell r="O34">
            <v>87</v>
          </cell>
        </row>
        <row r="35">
          <cell r="N35">
            <v>649</v>
          </cell>
          <cell r="O35">
            <v>70</v>
          </cell>
        </row>
        <row r="36">
          <cell r="N36">
            <v>2656</v>
          </cell>
          <cell r="O36">
            <v>282</v>
          </cell>
        </row>
        <row r="37">
          <cell r="N37">
            <v>10278</v>
          </cell>
          <cell r="O37">
            <v>881</v>
          </cell>
        </row>
      </sheetData>
      <sheetData sheetId="15" refreshError="1"/>
      <sheetData sheetId="16" refreshError="1"/>
      <sheetData sheetId="17" refreshError="1"/>
      <sheetData sheetId="18">
        <row r="3">
          <cell r="A3" t="str">
            <v>SP</v>
          </cell>
        </row>
      </sheetData>
      <sheetData sheetId="19">
        <row r="30">
          <cell r="A30" t="str">
            <v>RR</v>
          </cell>
        </row>
      </sheetData>
      <sheetData sheetId="20">
        <row r="3">
          <cell r="D3">
            <v>2726.8547648527197</v>
          </cell>
        </row>
      </sheetData>
      <sheetData sheetId="21" refreshError="1"/>
      <sheetData sheetId="22" refreshError="1"/>
      <sheetData sheetId="23">
        <row r="2">
          <cell r="A2" t="str">
            <v>AC</v>
          </cell>
        </row>
      </sheetData>
      <sheetData sheetId="24">
        <row r="10">
          <cell r="A10" t="str">
            <v>RR</v>
          </cell>
        </row>
      </sheetData>
      <sheetData sheetId="25">
        <row r="3">
          <cell r="A3" t="str">
            <v>AC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>
        <row r="1">
          <cell r="XFB1">
            <v>0.05</v>
          </cell>
        </row>
      </sheetData>
      <sheetData sheetId="36">
        <row r="5">
          <cell r="C5">
            <v>586</v>
          </cell>
        </row>
      </sheetData>
      <sheetData sheetId="37"/>
      <sheetData sheetId="38">
        <row r="6">
          <cell r="AX6">
            <v>67439.888000000006</v>
          </cell>
        </row>
      </sheetData>
      <sheetData sheetId="39"/>
      <sheetData sheetId="40"/>
      <sheetData sheetId="41"/>
      <sheetData sheetId="42"/>
      <sheetData sheetId="43">
        <row r="2">
          <cell r="J2" t="str">
            <v>PJ até 2 anos com sócio AU formado até 2 anos</v>
          </cell>
        </row>
      </sheetData>
      <sheetData sheetId="44"/>
      <sheetData sheetId="45"/>
      <sheetData sheetId="46"/>
      <sheetData sheetId="47">
        <row r="3">
          <cell r="A3" t="str">
            <v>SP</v>
          </cell>
        </row>
      </sheetData>
      <sheetData sheetId="48">
        <row r="30">
          <cell r="A30" t="str">
            <v>RR</v>
          </cell>
        </row>
      </sheetData>
      <sheetData sheetId="49">
        <row r="3">
          <cell r="D3">
            <v>2726.8547648527197</v>
          </cell>
        </row>
      </sheetData>
      <sheetData sheetId="50"/>
      <sheetData sheetId="51"/>
      <sheetData sheetId="52">
        <row r="2">
          <cell r="A2" t="str">
            <v>AC</v>
          </cell>
        </row>
      </sheetData>
      <sheetData sheetId="53">
        <row r="10">
          <cell r="A10" t="str">
            <v>RR</v>
          </cell>
        </row>
      </sheetData>
      <sheetData sheetId="54">
        <row r="3">
          <cell r="A3" t="str">
            <v>AC</v>
          </cell>
        </row>
      </sheetData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a Estratégico e ODS"/>
      <sheetName val="Indicadores e Metas"/>
      <sheetName val="Quadro Geral"/>
      <sheetName val="Anexo 1. Fontes e Aplicações"/>
      <sheetName val="Anexo 2. Limites Estratégicos"/>
      <sheetName val="Anexo 3. Elemento de Despesas"/>
      <sheetName val="Validação de dados"/>
      <sheetName val="Diretrizes - Resumo"/>
      <sheetName val="Matriz de Obj. Estrat."/>
    </sheetNames>
    <sheetDataSet>
      <sheetData sheetId="0" refreshError="1"/>
      <sheetData sheetId="1">
        <row r="12">
          <cell r="F12">
            <v>0.2</v>
          </cell>
        </row>
        <row r="16">
          <cell r="F16">
            <v>0.23040782718202074</v>
          </cell>
        </row>
        <row r="18">
          <cell r="F18">
            <v>0.7</v>
          </cell>
        </row>
        <row r="20">
          <cell r="F20">
            <v>0.22</v>
          </cell>
        </row>
        <row r="22">
          <cell r="F22">
            <v>0.05</v>
          </cell>
        </row>
        <row r="24">
          <cell r="F24">
            <v>7.0000000000000007E-2</v>
          </cell>
        </row>
        <row r="26">
          <cell r="F26">
            <v>0.3</v>
          </cell>
        </row>
        <row r="28">
          <cell r="F28">
            <v>0.38</v>
          </cell>
        </row>
        <row r="30">
          <cell r="F30">
            <v>0.32</v>
          </cell>
        </row>
        <row r="33">
          <cell r="F33">
            <v>0.9</v>
          </cell>
        </row>
        <row r="35">
          <cell r="F35">
            <v>0.95</v>
          </cell>
        </row>
        <row r="37">
          <cell r="F37">
            <v>0.8</v>
          </cell>
        </row>
        <row r="40">
          <cell r="F40">
            <v>1</v>
          </cell>
        </row>
        <row r="53">
          <cell r="F53">
            <v>0.02</v>
          </cell>
        </row>
        <row r="56">
          <cell r="F56">
            <v>65000</v>
          </cell>
        </row>
        <row r="61">
          <cell r="F61">
            <v>150000</v>
          </cell>
        </row>
        <row r="63">
          <cell r="F63">
            <v>0.8</v>
          </cell>
        </row>
        <row r="65">
          <cell r="F65">
            <v>0.5</v>
          </cell>
        </row>
        <row r="67">
          <cell r="F67">
            <v>0.6</v>
          </cell>
        </row>
        <row r="70">
          <cell r="F70">
            <v>1.2697790712541719</v>
          </cell>
        </row>
        <row r="72">
          <cell r="F72">
            <v>0.02</v>
          </cell>
        </row>
        <row r="74">
          <cell r="F74">
            <v>8.5000000000000006E-3</v>
          </cell>
        </row>
        <row r="77">
          <cell r="F77">
            <v>738.46762598508076</v>
          </cell>
        </row>
        <row r="79">
          <cell r="F79">
            <v>0.43606771300093422</v>
          </cell>
        </row>
        <row r="81">
          <cell r="F81">
            <v>65</v>
          </cell>
        </row>
        <row r="83">
          <cell r="F83">
            <v>0.27956989247311825</v>
          </cell>
        </row>
        <row r="85">
          <cell r="F85">
            <v>0.50212404418011902</v>
          </cell>
        </row>
        <row r="95">
          <cell r="F95">
            <v>5</v>
          </cell>
        </row>
      </sheetData>
      <sheetData sheetId="2">
        <row r="8">
          <cell r="A8" t="str">
            <v>Presidência</v>
          </cell>
          <cell r="B8" t="str">
            <v>A</v>
          </cell>
          <cell r="C8" t="str">
            <v>Articulação Institucional e fomento de parcerias estratégicas.</v>
          </cell>
          <cell r="D8" t="str">
            <v>Prover recursos humanos e materiais para articular parcerias e estimular práticas voltadas a valorização e fiscalização profissional</v>
          </cell>
          <cell r="E8" t="str">
            <v>Assegurar a eficácia no relacionamento e comunicação com a sociedade</v>
          </cell>
          <cell r="G8" t="str">
            <v>Fortalecimento e sedimentação da missão e visão do sistema CAU em face da sociedade, profissionais, instituições públicas e privadas.</v>
          </cell>
          <cell r="I8">
            <v>250384.84</v>
          </cell>
        </row>
        <row r="9">
          <cell r="A9" t="str">
            <v>Direção Geral</v>
          </cell>
          <cell r="B9" t="str">
            <v>A</v>
          </cell>
          <cell r="C9" t="str">
            <v>Manutenção Institucional</v>
          </cell>
          <cell r="D9" t="str">
            <v>Prover  a estruturação, seja por meio de recursos humanos, equipamentos,  materiais e tecnologia  para execução das atividades das diversas unidades e comissões regimentais e não regimentais do CAU/BA</v>
          </cell>
          <cell r="E9" t="str">
            <v>Construir cultura organizacional adequada à estratégia</v>
          </cell>
          <cell r="G9" t="str">
            <v>Manter a continuidade dos serviços e atividades do CAU/BA; Assegurar o bom funcionamento, manter a organização e promover a estruturação necessária para garantia da eficácia dos serviços, desde o atendimento, fomento à valorização profissional e fiscalização.</v>
          </cell>
          <cell r="I9">
            <v>875492.81</v>
          </cell>
        </row>
        <row r="10">
          <cell r="A10" t="str">
            <v>Gerência Técnica</v>
          </cell>
          <cell r="B10" t="str">
            <v>A</v>
          </cell>
          <cell r="C10" t="str">
            <v>Orientação, esclarecimento e atendimento de demandas de profissionais e empresas</v>
          </cell>
          <cell r="D10" t="str">
            <v xml:space="preserve">Orientar, disciplinar e promover o exercício qualificado da Arquitetura e Urbanismo </v>
          </cell>
          <cell r="E10" t="str">
            <v>Assegurar a eficácia no atendimento e no relacionamento com os Arquitetos e Urbanistas e a Sociedade</v>
          </cell>
          <cell r="G10" t="str">
            <v xml:space="preserve">Melhorar quantitativamente e qualitativamente o atendimento prestado aos profissionais e empresas </v>
          </cell>
          <cell r="I10">
            <v>237848.5</v>
          </cell>
        </row>
        <row r="11">
          <cell r="A11" t="str">
            <v>Gerência de Operações</v>
          </cell>
          <cell r="B11" t="str">
            <v>A</v>
          </cell>
          <cell r="C11" t="str">
            <v>Operacionalização dos processos éticos e de multa/fiscalização</v>
          </cell>
          <cell r="D11" t="str">
            <v>Prover recursos humanos e materiais para operacionalizar, planejar e identificar o segmento técnico fiscalizável  e no âmbito do Estado da Bahia, além de prover a estruturação dos processos éticos.</v>
          </cell>
          <cell r="E11" t="str">
            <v>Promover o exercício ético e qualificado da profissão</v>
          </cell>
          <cell r="G11" t="str">
            <v>Contribuir para a maximização das ações de fiscalização com utilização de mecanismos inovadores para sua efetivação; Contribuir para a maximização das ações disciplinares éticas.</v>
          </cell>
          <cell r="I11">
            <v>168124.89</v>
          </cell>
        </row>
        <row r="12">
          <cell r="A12" t="str">
            <v>Gerência Adm. Financeira</v>
          </cell>
          <cell r="B12" t="str">
            <v>A</v>
          </cell>
          <cell r="C12" t="str">
            <v>Manutenção Financeira</v>
          </cell>
          <cell r="D12" t="str">
            <v>Prover recursos humanos e materiais, operacionalizar e planejar a continuidade das ações  financeiras do CAU/BA, zelando pelo equilíbrio das contas do Conselho.</v>
          </cell>
          <cell r="E12" t="str">
            <v>Assegurar a sustentabilidade financeira</v>
          </cell>
          <cell r="G12" t="str">
            <v>Melhoria no gerenciamento do fluxo de pagamentos e contratações, com vistas a estruturar rotinas eficazes de gestão.</v>
          </cell>
          <cell r="I12">
            <v>427503.10201395774</v>
          </cell>
        </row>
        <row r="13">
          <cell r="A13" t="str">
            <v>Assessoria Jurídica</v>
          </cell>
          <cell r="B13" t="str">
            <v>A</v>
          </cell>
          <cell r="C13" t="str">
            <v>Consultoria e Assessoria Jurídica</v>
          </cell>
          <cell r="D13" t="str">
            <v>Prover recursos humanos e materiais para estruturar, organizar e manter em funcionamento a Assessoria Jurídica do CAU-BA.</v>
          </cell>
          <cell r="E13" t="str">
            <v>Aprimorar e inovar os processos e as ações</v>
          </cell>
          <cell r="G13" t="str">
            <v>Elevar o conhecimento dos colaboradores em normativos aplicáveis a autarquia CAU/BA, compartilhando informações e procedimentos</v>
          </cell>
          <cell r="I13">
            <v>266370.38</v>
          </cell>
        </row>
        <row r="14">
          <cell r="A14" t="str">
            <v>Comissão de Ética</v>
          </cell>
          <cell r="B14" t="str">
            <v>A</v>
          </cell>
          <cell r="C14" t="str">
            <v>Operacionalização e processamento dos  processos éticos</v>
          </cell>
          <cell r="D14" t="str">
            <v>Prover recursos humanos e materiais visando o processamento das demandas ético-disciplinares</v>
          </cell>
          <cell r="E14" t="str">
            <v>Promover o exercício ético e qualificado da profissão</v>
          </cell>
          <cell r="G14" t="str">
            <v>Contribuir para a otimização e agilização dos processos administrativos ético-disciplinares no âmbito do CAU/BA</v>
          </cell>
          <cell r="I14">
            <v>169992.39</v>
          </cell>
        </row>
        <row r="15">
          <cell r="A15" t="str">
            <v>Comissão de Atos Administrativos</v>
          </cell>
          <cell r="B15" t="str">
            <v>A</v>
          </cell>
          <cell r="C15" t="str">
            <v>Assessoramento organizacional-institucional</v>
          </cell>
          <cell r="D15" t="str">
            <v>Prover recursos humanos e materiais visando a estruturação e organização dos normativos do CAU/BA.</v>
          </cell>
          <cell r="E15" t="str">
            <v>Aprimorar e inovar os processos e as ações</v>
          </cell>
          <cell r="G15" t="str">
            <v>Contribuir para a otimização e agilização dos procedimentos operacionais e administrativos no âmbito do CAU/BA.</v>
          </cell>
          <cell r="I15">
            <v>35000</v>
          </cell>
        </row>
        <row r="16">
          <cell r="A16" t="str">
            <v>Comissão de Exercício Profissional e Fiscalização</v>
          </cell>
          <cell r="B16" t="str">
            <v>A</v>
          </cell>
          <cell r="C16" t="str">
            <v>Operacionalização da Fiscalização e fomento da valorização profissional</v>
          </cell>
          <cell r="D16" t="str">
            <v>Prover recursos humanos e materiais visando a estruturação e organização das ações de valorização profissional e de fiscalização.</v>
          </cell>
          <cell r="E16" t="str">
            <v>Tornar a fiscalização um vetor de melhoria do exercício da Arquitetura e Urbanismo</v>
          </cell>
          <cell r="G16" t="str">
            <v>Contribuir para a efetivação da fiscalização, mediante análise comparativa de dados, cumprimento de diligências, participação da sociedade, com vistas a assegurar a melhoria do exercício profissional do Arquiteto e Urbanista.</v>
          </cell>
          <cell r="I16">
            <v>50000</v>
          </cell>
        </row>
        <row r="17">
          <cell r="A17" t="str">
            <v>Comissão de Planejamento e Finanças</v>
          </cell>
          <cell r="B17" t="str">
            <v>A</v>
          </cell>
          <cell r="C17" t="str">
            <v>Operacionalização, Planejamento e Controle do CAU</v>
          </cell>
          <cell r="D17" t="str">
            <v>Prover recursos humanos e materiais visando a estruturação e organização do planejamento e de controle do CAU/BA</v>
          </cell>
          <cell r="E17" t="str">
            <v>Assegurar a sustentabilidade financeira</v>
          </cell>
          <cell r="G17" t="str">
            <v>Contribuir para a otimização e agilização dos procedimentos de planejamento e de controle no âmbito do CAU/BA</v>
          </cell>
          <cell r="I17">
            <v>35000</v>
          </cell>
        </row>
        <row r="18">
          <cell r="A18" t="str">
            <v>Comissão de Ensino</v>
          </cell>
          <cell r="B18" t="str">
            <v>A</v>
          </cell>
          <cell r="C18" t="str">
            <v>Fomento ao aperfeiçoamento e à formação profissional</v>
          </cell>
          <cell r="D18" t="str">
            <v>Prover recursos humanos e materiais visando a estruturação e organização da educação continuada e de formação profissional no âmbito do CAU/BA.</v>
          </cell>
          <cell r="E18" t="str">
            <v>Influenciar as diretrizes do ensino de Arquitetura e Urbanismo e sua formação continuada</v>
          </cell>
          <cell r="G18" t="str">
            <v>Contribuir para a otimização e agilização dos procedimentos internos no âmbito do CAU/BA vinculados ao ensino e formação.</v>
          </cell>
          <cell r="I18">
            <v>40000</v>
          </cell>
        </row>
        <row r="19">
          <cell r="A19" t="str">
            <v>Comissão Especial de Política Profissional</v>
          </cell>
          <cell r="B19" t="str">
            <v>A</v>
          </cell>
          <cell r="C19" t="str">
            <v>Fomento a ações que buscam promover melhorias da prática profissional</v>
          </cell>
          <cell r="D19" t="str">
            <v>Prover recursos técnicos visando a estruturação ao empreendedorismo dos arquitetos e urbanistas</v>
          </cell>
          <cell r="E19" t="str">
            <v>Aprimorar e inovar os processos e as ações</v>
          </cell>
          <cell r="G19" t="str">
            <v>Contribuir para a disseminação da cultura empreendedora e organização da atividade profissional sob a perspectiva dos negócios</v>
          </cell>
          <cell r="I19">
            <v>25000</v>
          </cell>
        </row>
        <row r="20">
          <cell r="A20" t="str">
            <v>Comissão Especial Política Urbana</v>
          </cell>
          <cell r="B20" t="str">
            <v>A</v>
          </cell>
          <cell r="C20" t="str">
            <v>Fomento a ações que buscam promover melhorias da política urbana estadual</v>
          </cell>
          <cell r="D20" t="str">
            <v>Prover recursos técnicos visando opinar sobre matérias com impacto urbanista</v>
          </cell>
          <cell r="E20" t="str">
            <v>Garantir a participação dos Arquitetos e Urbanistas no planejamento territorial e na gestão urbana</v>
          </cell>
          <cell r="G20" t="str">
            <v>Contribuir para a inserção da arquitetura nos planos gerais e parciais de urbanização ou reurbanização das cidades do estado da Bahia</v>
          </cell>
          <cell r="I20">
            <v>25000</v>
          </cell>
        </row>
        <row r="21">
          <cell r="A21" t="str">
            <v>Plenária</v>
          </cell>
          <cell r="B21" t="str">
            <v>A</v>
          </cell>
          <cell r="C21" t="str">
            <v>Operacionalização das reuniões institucionais regimentais</v>
          </cell>
          <cell r="D21" t="str">
            <v>Intercambiar informações e atualizar as diretrizes de atuação no âmbito Estadual</v>
          </cell>
          <cell r="E21" t="str">
            <v>Estimular a produção da Arquitetura e Urbanismo como política de Estado</v>
          </cell>
          <cell r="G21" t="str">
            <v>Prover recursos humanos e materiais visando a estruturação e organização das ações do Plenário do âmbito do CAU/BA</v>
          </cell>
          <cell r="I21">
            <v>123528.32000000001</v>
          </cell>
        </row>
        <row r="22">
          <cell r="A22" t="str">
            <v>Plenária</v>
          </cell>
          <cell r="B22" t="str">
            <v>P</v>
          </cell>
          <cell r="C22" t="str">
            <v>Semana do Arquiteto</v>
          </cell>
          <cell r="D22" t="str">
            <v>Promover evento que fomente a dignificação da Arquitetura por meio do intercâmbio de informações técnico-temático</v>
          </cell>
          <cell r="E22" t="str">
            <v>Assegurar a eficácia no relacionamento e comunicação com a sociedade</v>
          </cell>
          <cell r="G22" t="str">
            <v>Intensificar e aproximar O CAU/BA com seu público-alvo e a sociedade em geral, além de aprimorar a atuação profissional, por meio do fomento ao aperfeiçoamento profissional.</v>
          </cell>
          <cell r="I22">
            <v>80000</v>
          </cell>
        </row>
        <row r="23">
          <cell r="A23" t="str">
            <v>Direção Geral</v>
          </cell>
          <cell r="B23" t="str">
            <v>A</v>
          </cell>
          <cell r="C23" t="str">
            <v>APC - Aperfeiçoamento Profissional Continuado</v>
          </cell>
          <cell r="D23" t="str">
            <v>Construir parcerias e identificar temáticas que contribuam para a maturação do conteúdo de formação profissional</v>
          </cell>
          <cell r="E23" t="str">
            <v>Assegurar a eficácia no atendimento e no relacionamento com os Arquitetos e Urbanistas e a Sociedade</v>
          </cell>
          <cell r="G23" t="str">
            <v>Dotar o CAU/BA de rotina continuada de fomento e de valorização profissional</v>
          </cell>
          <cell r="I23">
            <v>90000</v>
          </cell>
        </row>
        <row r="24">
          <cell r="A24" t="str">
            <v>Plenária</v>
          </cell>
          <cell r="B24" t="str">
            <v>P</v>
          </cell>
          <cell r="C24" t="str">
            <v>Patrocínio</v>
          </cell>
          <cell r="D24" t="str">
            <v>Intensificar parcerias voltadas ao desenvolvimento da Arquitetura e Urbanismo</v>
          </cell>
          <cell r="E24" t="str">
            <v>Estimular o conhecimento, o uso de processos criativos e a difusão das melhores práticas em Arquitetura e Urbanismo</v>
          </cell>
          <cell r="G24" t="str">
            <v>Estruturar e solidificar parcerias estratégicas</v>
          </cell>
          <cell r="I24">
            <v>100000</v>
          </cell>
        </row>
        <row r="25">
          <cell r="A25" t="str">
            <v>Gerência Adm. Financeira</v>
          </cell>
          <cell r="B25" t="str">
            <v>A</v>
          </cell>
          <cell r="C25" t="str">
            <v>Aporte ao Fundo de Apoio</v>
          </cell>
          <cell r="D25" t="str">
            <v>Contribuir para estruturação e distribuição de recursos vinculadas a constituição de Fundo de Apoio.</v>
          </cell>
          <cell r="E25" t="str">
            <v>Assegurar a sustentabilidade financeira</v>
          </cell>
          <cell r="G25" t="str">
            <v>Participação na estruturação de organização sistêmica nacional</v>
          </cell>
          <cell r="I25">
            <v>63933.47699640358</v>
          </cell>
        </row>
        <row r="26">
          <cell r="A26" t="str">
            <v>Assessoria de Comunicação</v>
          </cell>
          <cell r="B26" t="str">
            <v>A</v>
          </cell>
          <cell r="C26" t="str">
            <v>Comunicação Institucional</v>
          </cell>
          <cell r="D26" t="str">
            <v>Prover recursos humanos e materiais para promover e disseminar a  missão, visão,  consolidando a marca CAU/BA</v>
          </cell>
          <cell r="E26" t="str">
            <v>Assegurar a eficácia no relacionamento e comunicação com a sociedade</v>
          </cell>
          <cell r="G26" t="str">
            <v>Solidificar a imagem, a marca e a missão do CAU/BA enquanto instituição que busca promover a Arquitetura para todos, em defesa da sociedade</v>
          </cell>
          <cell r="I26">
            <v>510450.98</v>
          </cell>
        </row>
        <row r="27">
          <cell r="A27" t="str">
            <v>Direção Geral</v>
          </cell>
          <cell r="B27" t="str">
            <v>A</v>
          </cell>
          <cell r="C27" t="str">
            <v>Programa de Capacitação dos Colaboradores</v>
          </cell>
          <cell r="D27" t="str">
            <v>Direcionar o profissional a um processo de educação, reciclagem e alteração de comportamento</v>
          </cell>
          <cell r="E27" t="str">
            <v>Desenvolver competências de dirigentes e colaboradores</v>
          </cell>
          <cell r="G27" t="str">
            <v>Dotar o CAU/BA de rotina continuada de fomento e de valorização dos colaboradores</v>
          </cell>
          <cell r="I27">
            <v>50000</v>
          </cell>
        </row>
        <row r="28">
          <cell r="A28" t="str">
            <v>Plenária</v>
          </cell>
          <cell r="B28" t="str">
            <v>P</v>
          </cell>
          <cell r="C28" t="str">
            <v>Programa de Assistência Técnica</v>
          </cell>
          <cell r="D28" t="str">
            <v>Disseminar e sensibilizar a assistência técnica pública e gratuita para o projeto e a construção de habitação de interesse social, como parte integrante do direito social à moradia previsto.</v>
          </cell>
          <cell r="E28" t="str">
            <v>Fomentar o acesso da sociedade à Arquitetura e Urbanismo</v>
          </cell>
          <cell r="G28" t="str">
            <v>Valorização e disseminação da cultura da Assistência Técnica</v>
          </cell>
          <cell r="I28">
            <v>268400</v>
          </cell>
        </row>
        <row r="29">
          <cell r="A29" t="str">
            <v>Gerência de Atendimento</v>
          </cell>
          <cell r="B29" t="str">
            <v>A</v>
          </cell>
          <cell r="C29" t="str">
            <v>Atendimento da Sociedade e arquitetos e urbanistas</v>
          </cell>
          <cell r="D29" t="str">
            <v>Aperfeiçoar o atendimento aos públicos interno e externo e  aprimorar o relacionamento com a sociedade</v>
          </cell>
          <cell r="E29" t="str">
            <v>Assegurar a eficácia no atendimento e no relacionamento com os Arquitetos e Urbanistas e a Sociedade</v>
          </cell>
          <cell r="G29" t="str">
            <v>Aperfeiçoar a qualidade do atendimento prestado aos públicos interno e externo.</v>
          </cell>
          <cell r="I29">
            <v>366797.12</v>
          </cell>
        </row>
        <row r="30">
          <cell r="A30" t="str">
            <v>Plenária</v>
          </cell>
          <cell r="B30" t="str">
            <v>P</v>
          </cell>
          <cell r="C30" t="str">
            <v>Reforma sede CAU/BA</v>
          </cell>
          <cell r="D30" t="str">
            <v>Reestruturação dos espaços e atividades</v>
          </cell>
          <cell r="E30" t="str">
            <v>Ter sistemas de informação e infraestrutura que viabilizem a gestão e o atendimento dos arquitetos e urbanistas e a sociedade</v>
          </cell>
          <cell r="G30" t="str">
            <v>O redimensionamento dos espaços contribuirá para melhoria das atividades de fiscalização, de registro, cadastro, atendimento e funcionamento do CAU/BA</v>
          </cell>
          <cell r="I30">
            <v>800000</v>
          </cell>
        </row>
        <row r="31">
          <cell r="A31" t="str">
            <v>Plenária</v>
          </cell>
          <cell r="B31" t="str">
            <v>P</v>
          </cell>
          <cell r="C31" t="str">
            <v>Aquisição de Equipamentos</v>
          </cell>
          <cell r="D31" t="str">
            <v>Modernizar parque computacional do CAU/BA</v>
          </cell>
          <cell r="E31" t="str">
            <v>Ter sistemas de informação e infraestrutura que viabilizem a gestão e o atendimento dos arquitetos e urbanistas e a sociedade</v>
          </cell>
          <cell r="G31" t="str">
            <v>Otimização e agilização dos procedimentos internos e redução no tempo de atendimento ao profissional Arquiteto e Urbanista</v>
          </cell>
          <cell r="I31">
            <v>640000</v>
          </cell>
        </row>
        <row r="32">
          <cell r="A32" t="str">
            <v>Gerência Adm. Financeira</v>
          </cell>
          <cell r="B32" t="str">
            <v>A</v>
          </cell>
          <cell r="C32" t="str">
            <v>CSC -Fiscalização</v>
          </cell>
          <cell r="D32" t="str">
            <v>Dotar a Gerência de Fiscalização de sistemas que facilitem a gestão e a tomada de decisão no Plano de Fiscalização do CAU/BA</v>
          </cell>
          <cell r="E32" t="str">
            <v>Tornar a fiscalização um vetor de melhoria do exercício da Arquitetura e Urbanismo</v>
          </cell>
          <cell r="G32" t="str">
            <v>Otimização e agilização dos procedimentos internos de fiscalização</v>
          </cell>
          <cell r="I32">
            <v>358590.21</v>
          </cell>
        </row>
        <row r="33">
          <cell r="A33" t="str">
            <v>Gerência Adm. Financeira</v>
          </cell>
          <cell r="B33" t="str">
            <v>A</v>
          </cell>
          <cell r="C33" t="str">
            <v>CSC- Atendimento</v>
          </cell>
          <cell r="D33" t="str">
            <v>Dotar a Gerência de Atendimento de sistemas que facilitem e agilizem o atendimento aos profissionais</v>
          </cell>
          <cell r="E33" t="str">
            <v>Assegurar a eficácia no atendimento e no relacionamento com os Arquitetos e Urbanistas e a Sociedade</v>
          </cell>
          <cell r="G33" t="str">
            <v xml:space="preserve">Melhoria na qualidade e na redução do tempo de atendimento </v>
          </cell>
          <cell r="I33">
            <v>48403.97</v>
          </cell>
        </row>
        <row r="34">
          <cell r="A34" t="str">
            <v>Gerência de Fiscalização</v>
          </cell>
          <cell r="B34" t="str">
            <v>A</v>
          </cell>
          <cell r="C34" t="str">
            <v>Plano de Fiscalização</v>
          </cell>
          <cell r="D34" t="str">
            <v>Implementar o Plano de Fiscalização Profissional no âmbito do Estado da Bahia</v>
          </cell>
          <cell r="E34" t="str">
            <v>Tornar a fiscalização um vetor de melhoria do exercício da Arquitetura e Urbanismo</v>
          </cell>
          <cell r="G34" t="str">
            <v>Manter a continuidade Operacional do Plano de Fiscalização, visando maximização de suas ações.</v>
          </cell>
          <cell r="I34">
            <v>468486.44</v>
          </cell>
        </row>
        <row r="35">
          <cell r="A35" t="str">
            <v>Plenária</v>
          </cell>
          <cell r="B35" t="str">
            <v>A</v>
          </cell>
          <cell r="C35" t="str">
            <v>Reserva de Contingência</v>
          </cell>
          <cell r="D35" t="str">
            <v>Suportar eventuais ações estratégicas não contempladas no PA</v>
          </cell>
          <cell r="E35" t="str">
            <v>Assegurar a sustentabilidade financeira</v>
          </cell>
          <cell r="G35" t="str">
            <v>Possibilitar a aplicação de recursos em ações não contempladas no PA</v>
          </cell>
          <cell r="I35">
            <v>41000</v>
          </cell>
        </row>
        <row r="36">
          <cell r="A36" t="str">
            <v>Presidência</v>
          </cell>
          <cell r="B36" t="str">
            <v>P</v>
          </cell>
          <cell r="C36" t="str">
            <v>Aquisição sede CAU/BA</v>
          </cell>
          <cell r="D36" t="str">
            <v>Melhoria das instalações e das distribuições das unidades internas e atividades funcionais</v>
          </cell>
          <cell r="E36" t="str">
            <v>Ter sistemas de informação e infraestrutura que viabilizem a gestão e o atendimento dos arquitetos e urbanistas e a sociedade</v>
          </cell>
          <cell r="G36" t="str">
            <v>O redimensionamento dos espaços contribuirá para melhoria das atividades de fiscalização, de registro, cadastro, atendimento e funcionamento do CAU/BA</v>
          </cell>
          <cell r="I36">
            <v>4000000</v>
          </cell>
        </row>
        <row r="37">
          <cell r="A37" t="str">
            <v>Plenária</v>
          </cell>
          <cell r="B37" t="str">
            <v>P</v>
          </cell>
          <cell r="C37" t="str">
            <v>Concurso</v>
          </cell>
          <cell r="D37" t="str">
            <v>Estruturar e organizar a realização do Concurso Público</v>
          </cell>
          <cell r="E37" t="str">
            <v>Aprimorar e inovar os processos e as ações</v>
          </cell>
          <cell r="G37" t="str">
            <v>Dar conformidade e garantia ao processo de contratação de pessoal</v>
          </cell>
          <cell r="I37">
            <v>5000</v>
          </cell>
        </row>
        <row r="38">
          <cell r="A38" t="str">
            <v>Gerência Administrativa</v>
          </cell>
          <cell r="B38" t="str">
            <v>A</v>
          </cell>
          <cell r="C38" t="str">
            <v>Manutenção Administrativa</v>
          </cell>
          <cell r="D38" t="str">
            <v>Planejar e gerenciar as ações  administrativas do CAU/BA, zelando pela contratação mais vantajosa para o Conselho.</v>
          </cell>
          <cell r="E38" t="str">
            <v>Aprimorar e inovar os processos e as ações</v>
          </cell>
          <cell r="G38" t="str">
            <v>Melhoria no gerenciamento do fluxo de contratos, com vistas a estruturar rotinas eficazes de gestão.</v>
          </cell>
          <cell r="I38">
            <v>448555.14</v>
          </cell>
        </row>
        <row r="39">
          <cell r="A39" t="str">
            <v>Plenário</v>
          </cell>
          <cell r="B39" t="str">
            <v>P</v>
          </cell>
          <cell r="C39" t="str">
            <v>Mudança sede Defiitiva</v>
          </cell>
          <cell r="D39" t="str">
            <v>Proporcionar melhoria de infraestrutura, agora de forma definitiva da sede, para readequar as instalações físicas em espaço com maior infraestrutura que permita melhor desenvolvimento das ativiades finalísticas da Autarquia</v>
          </cell>
          <cell r="E39" t="str">
            <v>Ter sistemas de informação e infraestrutura que viabilizem a gestão e o atendimento dos arquitetos e urbanistas e a sociedade</v>
          </cell>
          <cell r="G39" t="str">
            <v>Melhoria do cumprimento das ativiades finalísticas da Autaquia, dirigidas aos profissionais, colaboradores e sociedade</v>
          </cell>
          <cell r="I39">
            <v>50000</v>
          </cell>
        </row>
        <row r="40">
          <cell r="A40" t="str">
            <v>Plenário</v>
          </cell>
          <cell r="B40" t="str">
            <v>P</v>
          </cell>
          <cell r="C40" t="str">
            <v>Projeto Intercomissões</v>
          </cell>
          <cell r="D40" t="str">
            <v xml:space="preserve">Possibilitar a aplicação de recursos em ações estratégicas de âmbito global, compreendendo a necessidade de transversalidade das ações das comissões, de modo a cumprir a função do CAU, de “orientar, disciplinar e fiscalizar o exercício da profissão de arquitetura e urbanismo, zelar pela fiel observância dos princípios de ética e disciplina da classe em todo o território nacional, bem como pugnar pelo aperfeiçoamento do exercício da arquitetura e urbanismo” </v>
          </cell>
          <cell r="E40" t="str">
            <v>Assegurar a eficácia no atendimento e no relacionamento com os Arquitetos e Urbanistas e a Sociedade</v>
          </cell>
          <cell r="G40" t="str">
            <v>Fortalecer e sedimentar a missão do CAU/BA de “promover, em benefício da sociedade, a melhoria do exercício profissional da Arquitetura e Urbanismo, atuando com eficácia na orientação, disciplina, fiscalização e na disseminação do conhecimento”, fomentando as boas práticas profissionais e aproximando o CAU/BA do seu público-alvo e da sociedade em geral</v>
          </cell>
          <cell r="I40">
            <v>30000</v>
          </cell>
        </row>
        <row r="41">
          <cell r="A41" t="str">
            <v>Presidência</v>
          </cell>
          <cell r="B41" t="str">
            <v>P</v>
          </cell>
          <cell r="C41" t="str">
            <v xml:space="preserve">Aquisição carro </v>
          </cell>
          <cell r="D41" t="str">
            <v>Proporcionar melhoria de infraestrutura que permita melhor desenvilvimento das atividades da fiscalização</v>
          </cell>
          <cell r="E41" t="str">
            <v>Ter sistemas de informação e infraestrutura que viabilizem a gestão e o atendimento dos arquitetos e urbanistas e a sociedade</v>
          </cell>
          <cell r="G41" t="str">
            <v>Fortalecer o cumprimento das atividades da fiscalização</v>
          </cell>
          <cell r="I41">
            <v>150000</v>
          </cell>
        </row>
        <row r="42">
          <cell r="A42" t="str">
            <v>Presidência</v>
          </cell>
          <cell r="B42" t="str">
            <v>P</v>
          </cell>
          <cell r="C42" t="str">
            <v>Eleiçoes</v>
          </cell>
          <cell r="D42" t="str">
            <v>Estruturar e organizar a realização do Concurso Público</v>
          </cell>
          <cell r="E42" t="str">
            <v>Aprimorar e inovar os processos e as ações</v>
          </cell>
          <cell r="G42" t="str">
            <v>Dar conformidade e garantia ao processo eleitoral</v>
          </cell>
          <cell r="I42">
            <v>15000</v>
          </cell>
        </row>
      </sheetData>
      <sheetData sheetId="3">
        <row r="8">
          <cell r="D8">
            <v>5723862.5690103611</v>
          </cell>
        </row>
        <row r="9">
          <cell r="D9">
            <v>4708747.3100000005</v>
          </cell>
        </row>
        <row r="10">
          <cell r="D10">
            <v>2691902.12</v>
          </cell>
        </row>
        <row r="11">
          <cell r="D11">
            <v>2420015.23</v>
          </cell>
        </row>
        <row r="12">
          <cell r="D12">
            <v>2050324.46</v>
          </cell>
        </row>
        <row r="13">
          <cell r="D13">
            <v>369690.77</v>
          </cell>
        </row>
        <row r="14">
          <cell r="D14">
            <v>271886.89</v>
          </cell>
        </row>
        <row r="15">
          <cell r="D15">
            <v>172277.64</v>
          </cell>
        </row>
        <row r="16">
          <cell r="D16">
            <v>99609.25</v>
          </cell>
        </row>
        <row r="17">
          <cell r="D17">
            <v>1814966.75</v>
          </cell>
        </row>
        <row r="18">
          <cell r="D18">
            <v>201878.44</v>
          </cell>
        </row>
        <row r="19">
          <cell r="D19">
            <v>1000000</v>
          </cell>
        </row>
        <row r="20">
          <cell r="D20">
            <v>15115.259010360656</v>
          </cell>
        </row>
        <row r="22">
          <cell r="D22">
            <v>5590000</v>
          </cell>
        </row>
        <row r="23">
          <cell r="D23">
            <v>5590000</v>
          </cell>
        </row>
        <row r="25">
          <cell r="D25">
            <v>11313862.569010362</v>
          </cell>
        </row>
        <row r="27">
          <cell r="D27">
            <v>10801934.912013959</v>
          </cell>
        </row>
        <row r="28">
          <cell r="D28">
            <v>6138400</v>
          </cell>
        </row>
        <row r="29">
          <cell r="D29">
            <v>0</v>
          </cell>
        </row>
        <row r="30">
          <cell r="D30">
            <v>4663534.9120139582</v>
          </cell>
        </row>
        <row r="31">
          <cell r="D31">
            <v>63933.47699640358</v>
          </cell>
        </row>
        <row r="32">
          <cell r="D32">
            <v>406994.18</v>
          </cell>
        </row>
        <row r="33">
          <cell r="D33">
            <v>41000</v>
          </cell>
        </row>
        <row r="34">
          <cell r="D34">
            <v>11313862.569010362</v>
          </cell>
        </row>
        <row r="40">
          <cell r="C40">
            <v>5723862.5690103611</v>
          </cell>
          <cell r="F40">
            <v>5723862.5690103611</v>
          </cell>
        </row>
        <row r="41">
          <cell r="C41">
            <v>5590000</v>
          </cell>
          <cell r="F41">
            <v>5590000</v>
          </cell>
        </row>
      </sheetData>
      <sheetData sheetId="4">
        <row r="6">
          <cell r="E6">
            <v>4708747.3100000005</v>
          </cell>
          <cell r="O6">
            <v>2495991.66</v>
          </cell>
        </row>
        <row r="7">
          <cell r="D7">
            <v>0</v>
          </cell>
          <cell r="O7">
            <v>382029.02</v>
          </cell>
        </row>
        <row r="8">
          <cell r="E8">
            <v>4708747.3100000005</v>
          </cell>
          <cell r="O8">
            <v>5723862.5690103611</v>
          </cell>
        </row>
        <row r="9">
          <cell r="E9">
            <v>63933.47699640358</v>
          </cell>
        </row>
        <row r="10">
          <cell r="E10">
            <v>4644813.8330035973</v>
          </cell>
        </row>
        <row r="13">
          <cell r="E13">
            <v>877076.65</v>
          </cell>
          <cell r="O13">
            <v>2113962.64</v>
          </cell>
        </row>
        <row r="14">
          <cell r="E14">
            <v>0.1888292365493652</v>
          </cell>
          <cell r="O14">
            <v>0.36932449277263096</v>
          </cell>
        </row>
        <row r="15">
          <cell r="E15">
            <v>773049.59</v>
          </cell>
          <cell r="O15">
            <v>50000</v>
          </cell>
        </row>
        <row r="16">
          <cell r="E16">
            <v>0.16643284699746572</v>
          </cell>
          <cell r="O16">
            <v>2.0032118216292437E-2</v>
          </cell>
        </row>
        <row r="17">
          <cell r="E17">
            <v>840835.82</v>
          </cell>
        </row>
        <row r="18">
          <cell r="E18">
            <v>0.18102680758170847</v>
          </cell>
        </row>
        <row r="19">
          <cell r="E19">
            <v>100000</v>
          </cell>
        </row>
        <row r="20">
          <cell r="E20">
            <v>2.152938817255769E-2</v>
          </cell>
        </row>
        <row r="21">
          <cell r="E21">
            <v>1151166.8699999999</v>
          </cell>
        </row>
        <row r="22">
          <cell r="E22">
            <v>0.24783918395618254</v>
          </cell>
        </row>
        <row r="23">
          <cell r="E23">
            <v>268400</v>
          </cell>
        </row>
        <row r="24">
          <cell r="E24">
            <v>5.7784877855144842E-2</v>
          </cell>
        </row>
        <row r="25">
          <cell r="E25">
            <v>41000</v>
          </cell>
        </row>
        <row r="26">
          <cell r="E26">
            <v>8.8270491507486532E-3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"/>
    </sheetNames>
    <sheetDataSet>
      <sheetData sheetId="0">
        <row r="20">
          <cell r="G20">
            <v>19704.47</v>
          </cell>
        </row>
        <row r="24">
          <cell r="G24">
            <v>0</v>
          </cell>
        </row>
        <row r="38">
          <cell r="G38">
            <v>0</v>
          </cell>
        </row>
        <row r="42">
          <cell r="G42">
            <v>77605.240000000005</v>
          </cell>
        </row>
        <row r="52">
          <cell r="G52">
            <v>72635.77</v>
          </cell>
        </row>
        <row r="54">
          <cell r="G54">
            <v>17956.169999999998</v>
          </cell>
        </row>
        <row r="56">
          <cell r="G56">
            <v>4601.63</v>
          </cell>
        </row>
        <row r="58">
          <cell r="G58">
            <v>1584.99</v>
          </cell>
        </row>
        <row r="60">
          <cell r="G60">
            <v>2136.06</v>
          </cell>
        </row>
        <row r="64">
          <cell r="G64">
            <v>0</v>
          </cell>
        </row>
        <row r="66">
          <cell r="G66">
            <v>4211.1000000000004</v>
          </cell>
        </row>
        <row r="70">
          <cell r="G70">
            <v>71491.09</v>
          </cell>
        </row>
        <row r="80">
          <cell r="G80">
            <v>265135.51</v>
          </cell>
        </row>
        <row r="82">
          <cell r="G82">
            <v>0</v>
          </cell>
        </row>
        <row r="92">
          <cell r="G92">
            <v>100715.6</v>
          </cell>
        </row>
        <row r="102">
          <cell r="G102">
            <v>90057.38</v>
          </cell>
        </row>
        <row r="114">
          <cell r="G114">
            <v>24737.32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entações Iniciais"/>
      <sheetName val="Mapa Estratégico e ODS"/>
      <sheetName val="Indicadores e Metas"/>
      <sheetName val="Quadro Geral"/>
      <sheetName val="Anexo 1. Fontes e Aplicações"/>
      <sheetName val="Anexo 2. Limites Estratégicos"/>
      <sheetName val="Anexo 3. Elemento de Despesas"/>
      <sheetName val="Validação de dados"/>
    </sheetNames>
    <sheetDataSet>
      <sheetData sheetId="0"/>
      <sheetData sheetId="1"/>
      <sheetData sheetId="2"/>
      <sheetData sheetId="3"/>
      <sheetData sheetId="4">
        <row r="40">
          <cell r="J40">
            <v>-1.280568540096283E-9</v>
          </cell>
        </row>
      </sheetData>
      <sheetData sheetId="5"/>
      <sheetData sheetId="6"/>
      <sheetData sheetId="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DRO 1"/>
      <sheetName val="QUADRO 2"/>
      <sheetName val="QUADRO 3"/>
      <sheetName val="QUADRO 4"/>
      <sheetName val="Simulação de %"/>
      <sheetName val="Estudos - Receita"/>
      <sheetName val="ANEXO I"/>
      <sheetName val="ANEXO II"/>
      <sheetName val="ANEXO III e Anexo IX"/>
      <sheetName val="Estudos - Quant. PF"/>
      <sheetName val="NOVOS EGRESSOS"/>
      <sheetName val="Estudos-Percentuais"/>
      <sheetName val="ANEXO IV"/>
      <sheetName val="ANEXO V"/>
      <sheetName val="Estudos - Quant. PJ"/>
      <sheetName val="ANEXO VI"/>
      <sheetName val="ANEXO VII"/>
      <sheetName val="ANEXO VIII"/>
      <sheetName val="ANEXO X Aporte FA"/>
      <sheetName val="ANEXO X.I Repasse FA"/>
      <sheetName val="ANEXO XI CSC Total"/>
      <sheetName val="ANEXO XI.I CSC RIA"/>
      <sheetName val="ANEXO XI.II CSC Essencial"/>
      <sheetName val="ANEXO XI.III - RIA Enc. dContas"/>
      <sheetName val="ANEXO XII"/>
      <sheetName val="XIII. TAXAS BANCÁRIAS"/>
      <sheetName val="NOVO SISCAF"/>
      <sheetName val="Gráficos e Tabelas"/>
      <sheetName val="Resumo - Ajuste pelos UFs"/>
      <sheetName val="Resumo"/>
      <sheetName val="Validação de dados"/>
      <sheetName val="AÇÕES ESTRATÉGICAS - DESCRIÇÃO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XFB1">
            <v>0.05</v>
          </cell>
        </row>
      </sheetData>
      <sheetData sheetId="6">
        <row r="5">
          <cell r="C5">
            <v>586</v>
          </cell>
        </row>
      </sheetData>
      <sheetData sheetId="7" refreshError="1"/>
      <sheetData sheetId="8">
        <row r="6">
          <cell r="AX6">
            <v>67439.888000000006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2">
          <cell r="J2" t="str">
            <v>PJ até 2 anos com sócio AU formado até 2 anos</v>
          </cell>
        </row>
      </sheetData>
      <sheetData sheetId="15" refreshError="1"/>
      <sheetData sheetId="16" refreshError="1"/>
      <sheetData sheetId="17" refreshError="1"/>
      <sheetData sheetId="18">
        <row r="3">
          <cell r="A3" t="str">
            <v>SP</v>
          </cell>
        </row>
      </sheetData>
      <sheetData sheetId="19">
        <row r="30">
          <cell r="A30" t="str">
            <v>RR</v>
          </cell>
        </row>
      </sheetData>
      <sheetData sheetId="20">
        <row r="3">
          <cell r="D3">
            <v>2726.8547648527197</v>
          </cell>
        </row>
      </sheetData>
      <sheetData sheetId="21" refreshError="1"/>
      <sheetData sheetId="22" refreshError="1"/>
      <sheetData sheetId="23">
        <row r="2">
          <cell r="A2" t="str">
            <v>AC</v>
          </cell>
        </row>
      </sheetData>
      <sheetData sheetId="24">
        <row r="10">
          <cell r="A10" t="str">
            <v>RR</v>
          </cell>
        </row>
      </sheetData>
      <sheetData sheetId="25">
        <row r="3">
          <cell r="A3" t="str">
            <v>AC</v>
          </cell>
        </row>
      </sheetData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"/>
    </sheetNames>
    <sheetDataSet>
      <sheetData sheetId="0">
        <row r="16">
          <cell r="H16">
            <v>1166876.21</v>
          </cell>
        </row>
        <row r="17">
          <cell r="H17">
            <v>316515.01</v>
          </cell>
        </row>
        <row r="18">
          <cell r="H18">
            <v>34105.96</v>
          </cell>
        </row>
        <row r="19">
          <cell r="H19">
            <v>72016.19</v>
          </cell>
        </row>
        <row r="20">
          <cell r="H20">
            <v>1083.55</v>
          </cell>
        </row>
        <row r="22">
          <cell r="H22">
            <v>4661.08</v>
          </cell>
        </row>
        <row r="72">
          <cell r="H72">
            <v>932002.76</v>
          </cell>
        </row>
        <row r="165">
          <cell r="H165">
            <v>0</v>
          </cell>
        </row>
        <row r="200">
          <cell r="G200">
            <v>3217361.11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"/>
    </sheetNames>
    <sheetDataSet>
      <sheetData sheetId="0">
        <row r="134">
          <cell r="H134">
            <v>564128.54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entações Iniciais"/>
      <sheetName val="Mapa Estratégico e ODS"/>
      <sheetName val="Indicadores e Metas"/>
      <sheetName val="Quadro Geral"/>
      <sheetName val="Anexo 1. Fontes e Aplicações"/>
      <sheetName val="Anexo 2. Limites Estratégicos"/>
      <sheetName val="Anexo 3. Elemento de Despesas"/>
      <sheetName val="Validação de dados"/>
      <sheetName val="Diretrizes - Resumo"/>
      <sheetName val="Matriz de Obj. Estrat."/>
    </sheetNames>
    <sheetDataSet>
      <sheetData sheetId="0"/>
      <sheetData sheetId="1"/>
      <sheetData sheetId="2"/>
      <sheetData sheetId="3">
        <row r="82">
          <cell r="I82">
            <v>0</v>
          </cell>
        </row>
      </sheetData>
      <sheetData sheetId="4"/>
      <sheetData sheetId="5"/>
      <sheetData sheetId="6"/>
      <sheetData sheetId="7"/>
      <sheetData sheetId="8"/>
      <sheetData sheetId="9"/>
    </sheetDataSet>
  </externalBook>
</externalLink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14</v>
    <v>8</v>
    <v>0</v>
    <v>6</v>
  </rv>
</rvData>
</file>

<file path=xl/richData/rdrichvaluestructure.xml><?xml version="1.0" encoding="utf-8"?>
<rvStructures xmlns="http://schemas.microsoft.com/office/spreadsheetml/2017/richdata" count="1">
  <s t="_error">
    <k n="colOffset" t="i"/>
    <k n="errorType" t="i"/>
    <k n="rwOffset" t="i"/>
    <k n="subType" t="i"/>
  </s>
</rvStructures>
</file>

<file path=xl/theme/theme1.xml><?xml version="1.0" encoding="utf-8"?>
<a:theme xmlns:a="http://schemas.openxmlformats.org/drawingml/2006/main" name="Tema do Office">
  <a:themeElements>
    <a:clrScheme name="Paleta CAU">
      <a:dk1>
        <a:sysClr val="windowText" lastClr="000000"/>
      </a:dk1>
      <a:lt1>
        <a:sysClr val="window" lastClr="FFFFFF"/>
      </a:lt1>
      <a:dk2>
        <a:srgbClr val="898B8E"/>
      </a:dk2>
      <a:lt2>
        <a:srgbClr val="E7E6E6"/>
      </a:lt2>
      <a:accent1>
        <a:srgbClr val="00B5E2"/>
      </a:accent1>
      <a:accent2>
        <a:srgbClr val="FF6900"/>
      </a:accent2>
      <a:accent3>
        <a:srgbClr val="D4D5D4"/>
      </a:accent3>
      <a:accent4>
        <a:srgbClr val="FFCD00"/>
      </a:accent4>
      <a:accent5>
        <a:srgbClr val="16185B"/>
      </a:accent5>
      <a:accent6>
        <a:srgbClr val="78BE20"/>
      </a:accent6>
      <a:hlink>
        <a:srgbClr val="612141"/>
      </a:hlink>
      <a:folHlink>
        <a:srgbClr val="E31C79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2.emf"/><Relationship Id="rId4" Type="http://schemas.openxmlformats.org/officeDocument/2006/relationships/package" Target="../embeddings/Microsoft_PowerPoint_Slide.sldx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6900"/>
  </sheetPr>
  <dimension ref="B1:L13"/>
  <sheetViews>
    <sheetView showGridLines="0" topLeftCell="A7" workbookViewId="0">
      <selection activeCell="B9" sqref="B9"/>
    </sheetView>
  </sheetViews>
  <sheetFormatPr defaultColWidth="9.109375" defaultRowHeight="15.6" x14ac:dyDescent="0.3"/>
  <cols>
    <col min="1" max="1" width="3.6640625" style="101" customWidth="1"/>
    <col min="2" max="2" width="96.109375" style="101" customWidth="1"/>
    <col min="3" max="10" width="9.109375" style="101"/>
    <col min="11" max="11" width="17.6640625" style="101" customWidth="1"/>
    <col min="12" max="16384" width="9.109375" style="101"/>
  </cols>
  <sheetData>
    <row r="1" spans="2:12" ht="61.5" customHeight="1" thickBot="1" x14ac:dyDescent="0.35"/>
    <row r="2" spans="2:12" ht="15.75" customHeight="1" x14ac:dyDescent="0.3">
      <c r="B2" s="310" t="s">
        <v>279</v>
      </c>
      <c r="D2" s="304" t="s">
        <v>179</v>
      </c>
      <c r="E2" s="305"/>
      <c r="F2" s="305"/>
      <c r="G2" s="305"/>
      <c r="H2" s="305"/>
      <c r="I2" s="305"/>
      <c r="J2" s="305"/>
      <c r="K2" s="306"/>
    </row>
    <row r="3" spans="2:12" ht="15" customHeight="1" x14ac:dyDescent="0.3">
      <c r="B3" s="310"/>
      <c r="D3" s="307"/>
      <c r="E3" s="308"/>
      <c r="F3" s="308"/>
      <c r="G3" s="308"/>
      <c r="H3" s="308"/>
      <c r="I3" s="308"/>
      <c r="J3" s="308"/>
      <c r="K3" s="309"/>
    </row>
    <row r="4" spans="2:12" ht="27.75" customHeight="1" x14ac:dyDescent="0.3">
      <c r="B4" s="303" t="s">
        <v>354</v>
      </c>
      <c r="D4" s="300" t="s">
        <v>182</v>
      </c>
      <c r="E4" s="301"/>
      <c r="F4" s="301"/>
      <c r="G4" s="301"/>
      <c r="H4" s="301"/>
      <c r="I4" s="301"/>
      <c r="J4" s="301"/>
      <c r="K4" s="302"/>
    </row>
    <row r="5" spans="2:12" ht="31.5" customHeight="1" thickBot="1" x14ac:dyDescent="0.35">
      <c r="B5" s="303"/>
      <c r="D5" s="311" t="s">
        <v>265</v>
      </c>
      <c r="E5" s="312"/>
      <c r="F5" s="312"/>
      <c r="G5" s="312"/>
      <c r="H5" s="312"/>
      <c r="I5" s="312"/>
      <c r="J5" s="312"/>
      <c r="K5" s="313"/>
    </row>
    <row r="6" spans="2:12" ht="58.5" customHeight="1" x14ac:dyDescent="0.3">
      <c r="B6" s="92" t="s">
        <v>183</v>
      </c>
      <c r="D6" s="297"/>
      <c r="E6" s="298"/>
      <c r="F6" s="298"/>
      <c r="G6" s="298"/>
      <c r="H6" s="298"/>
      <c r="I6" s="298"/>
      <c r="J6" s="298"/>
      <c r="K6" s="299"/>
    </row>
    <row r="7" spans="2:12" ht="36.75" customHeight="1" x14ac:dyDescent="0.3">
      <c r="B7" s="91" t="s">
        <v>355</v>
      </c>
      <c r="D7" s="296"/>
      <c r="E7" s="296"/>
      <c r="F7" s="296"/>
      <c r="G7" s="296"/>
      <c r="H7" s="296"/>
      <c r="I7" s="296"/>
      <c r="J7" s="296"/>
      <c r="K7" s="296"/>
      <c r="L7" s="102"/>
    </row>
    <row r="8" spans="2:12" ht="52.5" customHeight="1" x14ac:dyDescent="0.3">
      <c r="B8" s="92" t="s">
        <v>92</v>
      </c>
    </row>
    <row r="9" spans="2:12" ht="57.75" customHeight="1" x14ac:dyDescent="0.3">
      <c r="B9" s="91" t="s">
        <v>356</v>
      </c>
    </row>
    <row r="10" spans="2:12" ht="54" customHeight="1" x14ac:dyDescent="0.3">
      <c r="B10" s="93" t="s">
        <v>357</v>
      </c>
      <c r="D10" s="23"/>
      <c r="E10" s="23"/>
      <c r="F10" s="23"/>
      <c r="G10" s="23"/>
    </row>
    <row r="11" spans="2:12" ht="96" customHeight="1" x14ac:dyDescent="0.3">
      <c r="B11" s="93" t="s">
        <v>358</v>
      </c>
      <c r="C11" s="23"/>
      <c r="D11" s="102"/>
    </row>
    <row r="12" spans="2:12" ht="83.4" hidden="1" customHeight="1" thickBot="1" x14ac:dyDescent="0.35">
      <c r="B12" s="89"/>
      <c r="C12" s="102"/>
    </row>
    <row r="13" spans="2:12" ht="39.75" hidden="1" customHeight="1" x14ac:dyDescent="0.3">
      <c r="B13" s="90" t="s">
        <v>255</v>
      </c>
      <c r="C13" s="98"/>
    </row>
  </sheetData>
  <mergeCells count="7">
    <mergeCell ref="D7:K7"/>
    <mergeCell ref="D6:K6"/>
    <mergeCell ref="D4:K4"/>
    <mergeCell ref="B4:B5"/>
    <mergeCell ref="D2:K3"/>
    <mergeCell ref="B2:B3"/>
    <mergeCell ref="D5:K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7030A0"/>
    <outlinePr summaryBelow="0"/>
  </sheetPr>
  <dimension ref="A1:R120"/>
  <sheetViews>
    <sheetView showGridLines="0" topLeftCell="A22" workbookViewId="0">
      <selection activeCell="S106" sqref="S106"/>
    </sheetView>
  </sheetViews>
  <sheetFormatPr defaultRowHeight="14.4" x14ac:dyDescent="0.3"/>
  <cols>
    <col min="1" max="1" width="14.6640625" customWidth="1"/>
    <col min="2" max="2" width="6" customWidth="1"/>
    <col min="3" max="3" width="13.33203125" customWidth="1"/>
    <col min="4" max="4" width="9.5546875" hidden="1" customWidth="1"/>
    <col min="5" max="5" width="3.88671875" hidden="1" customWidth="1"/>
    <col min="6" max="6" width="13.33203125" hidden="1" customWidth="1"/>
    <col min="7" max="7" width="13.44140625" customWidth="1"/>
    <col min="8" max="8" width="11.88671875" customWidth="1"/>
    <col min="9" max="9" width="1.5546875" customWidth="1"/>
    <col min="10" max="10" width="13.33203125" customWidth="1"/>
    <col min="11" max="11" width="13.44140625" customWidth="1"/>
    <col min="12" max="12" width="3.109375" customWidth="1"/>
    <col min="13" max="13" width="10.33203125" customWidth="1"/>
    <col min="14" max="14" width="2.109375" customWidth="1"/>
    <col min="15" max="15" width="11.109375" customWidth="1"/>
    <col min="16" max="16" width="13.44140625" customWidth="1"/>
    <col min="17" max="17" width="0.44140625" customWidth="1"/>
  </cols>
  <sheetData>
    <row r="1" spans="1:17" ht="34.5" customHeight="1" x14ac:dyDescent="0.3"/>
    <row r="2" spans="1:17" ht="23.25" customHeight="1" x14ac:dyDescent="0.3">
      <c r="A2" s="516" t="s">
        <v>578</v>
      </c>
      <c r="B2" s="516"/>
      <c r="C2" s="516"/>
      <c r="D2" s="516"/>
      <c r="E2" s="516"/>
      <c r="F2" s="516"/>
      <c r="G2" s="516"/>
      <c r="H2" s="516"/>
      <c r="I2" s="516"/>
      <c r="J2" s="516"/>
      <c r="K2" s="516"/>
      <c r="L2" s="516"/>
      <c r="M2" s="516"/>
      <c r="N2" s="516"/>
    </row>
    <row r="3" spans="1:17" ht="15.75" customHeight="1" x14ac:dyDescent="0.3">
      <c r="A3" s="517" t="s">
        <v>579</v>
      </c>
      <c r="B3" s="517"/>
      <c r="C3" s="517"/>
      <c r="D3" s="517"/>
      <c r="E3" s="517"/>
      <c r="F3" s="517"/>
      <c r="G3" s="517"/>
      <c r="H3" s="517"/>
      <c r="I3" s="517"/>
      <c r="J3" s="517"/>
      <c r="K3" s="517"/>
      <c r="L3" s="517"/>
      <c r="M3" s="517"/>
      <c r="N3" s="517"/>
    </row>
    <row r="4" spans="1:17" ht="0.75" customHeight="1" x14ac:dyDescent="0.3"/>
    <row r="5" spans="1:17" ht="9.75" customHeight="1" x14ac:dyDescent="0.3">
      <c r="A5" s="517" t="s">
        <v>580</v>
      </c>
      <c r="B5" s="517"/>
      <c r="C5" s="517"/>
      <c r="D5" s="517"/>
    </row>
    <row r="6" spans="1:17" ht="6.75" customHeight="1" x14ac:dyDescent="0.3">
      <c r="A6" s="517"/>
      <c r="B6" s="517"/>
      <c r="C6" s="517"/>
      <c r="D6" s="517"/>
    </row>
    <row r="7" spans="1:17" ht="0.75" customHeight="1" x14ac:dyDescent="0.3"/>
    <row r="8" spans="1:17" ht="6" customHeight="1" x14ac:dyDescent="0.3">
      <c r="A8" s="518"/>
      <c r="B8" s="518"/>
      <c r="C8" s="518"/>
      <c r="D8" s="518"/>
      <c r="E8" s="518"/>
      <c r="F8" s="518"/>
      <c r="G8" s="518"/>
      <c r="H8" s="518"/>
      <c r="I8" s="518"/>
      <c r="J8" s="518"/>
      <c r="K8" s="518"/>
      <c r="L8" s="518"/>
      <c r="M8" s="518"/>
      <c r="N8" s="518"/>
      <c r="O8" s="518"/>
      <c r="P8" s="518"/>
      <c r="Q8" s="518"/>
    </row>
    <row r="9" spans="1:17" ht="14.25" customHeight="1" x14ac:dyDescent="0.3">
      <c r="M9" s="519" t="s">
        <v>581</v>
      </c>
      <c r="N9" s="519"/>
      <c r="O9" s="519"/>
      <c r="P9" s="519"/>
      <c r="Q9" s="519"/>
    </row>
    <row r="10" spans="1:17" ht="19.5" customHeight="1" x14ac:dyDescent="0.3">
      <c r="A10" s="520" t="s">
        <v>582</v>
      </c>
      <c r="B10" s="520"/>
      <c r="C10" s="520"/>
      <c r="D10" s="520"/>
      <c r="E10" s="520"/>
      <c r="F10" s="520"/>
      <c r="G10" s="520"/>
      <c r="H10" s="520"/>
      <c r="I10" s="520"/>
      <c r="J10" s="520"/>
      <c r="K10" s="520"/>
      <c r="L10" s="520"/>
      <c r="M10" s="520"/>
      <c r="N10" s="520"/>
      <c r="O10" s="520"/>
      <c r="P10" s="520"/>
      <c r="Q10" s="520"/>
    </row>
    <row r="11" spans="1:17" ht="15" customHeight="1" x14ac:dyDescent="0.3">
      <c r="A11" s="513" t="s">
        <v>583</v>
      </c>
      <c r="B11" s="513"/>
      <c r="C11" s="513"/>
      <c r="D11" s="513"/>
      <c r="E11" s="513"/>
      <c r="F11" s="513"/>
      <c r="G11" s="513"/>
      <c r="H11" s="513"/>
      <c r="I11" s="513"/>
      <c r="J11" s="513"/>
      <c r="K11" s="513"/>
      <c r="L11" s="513"/>
      <c r="M11" s="513"/>
      <c r="N11" s="513"/>
      <c r="O11" s="513"/>
      <c r="P11" s="513"/>
      <c r="Q11" s="513"/>
    </row>
    <row r="12" spans="1:17" ht="1.5" customHeight="1" x14ac:dyDescent="0.3"/>
    <row r="13" spans="1:17" ht="15" customHeight="1" x14ac:dyDescent="0.3">
      <c r="A13" s="514"/>
      <c r="B13" s="514"/>
      <c r="C13" s="514"/>
      <c r="D13" s="515" t="s">
        <v>584</v>
      </c>
      <c r="E13" s="515"/>
      <c r="F13" s="515"/>
      <c r="G13" s="515" t="s">
        <v>585</v>
      </c>
      <c r="H13" s="515"/>
      <c r="I13" s="515"/>
      <c r="J13" s="515" t="s">
        <v>586</v>
      </c>
      <c r="K13" s="515"/>
      <c r="L13" s="515" t="s">
        <v>587</v>
      </c>
      <c r="M13" s="515"/>
      <c r="N13" s="515"/>
      <c r="O13" s="515"/>
      <c r="P13" s="515"/>
      <c r="Q13" s="515"/>
    </row>
    <row r="14" spans="1:17" ht="14.25" customHeight="1" x14ac:dyDescent="0.3">
      <c r="A14" s="511" t="s">
        <v>588</v>
      </c>
      <c r="B14" s="511"/>
      <c r="C14" s="263" t="s">
        <v>589</v>
      </c>
      <c r="D14" s="512" t="s">
        <v>590</v>
      </c>
      <c r="E14" s="512"/>
      <c r="F14" s="264" t="s">
        <v>522</v>
      </c>
      <c r="G14" s="264" t="s">
        <v>590</v>
      </c>
      <c r="H14" s="512" t="s">
        <v>522</v>
      </c>
      <c r="I14" s="512"/>
      <c r="J14" s="264" t="s">
        <v>590</v>
      </c>
      <c r="K14" s="264" t="s">
        <v>522</v>
      </c>
      <c r="L14" s="512" t="s">
        <v>591</v>
      </c>
      <c r="M14" s="512"/>
      <c r="N14" s="512" t="s">
        <v>592</v>
      </c>
      <c r="O14" s="512"/>
      <c r="P14" s="512" t="s">
        <v>593</v>
      </c>
      <c r="Q14" s="512"/>
    </row>
    <row r="15" spans="1:17" ht="14.25" customHeight="1" x14ac:dyDescent="0.3">
      <c r="A15" s="492" t="s">
        <v>594</v>
      </c>
      <c r="B15" s="492"/>
      <c r="C15" s="492"/>
      <c r="D15" s="492"/>
      <c r="E15" s="492"/>
      <c r="F15" s="492"/>
      <c r="G15" s="492"/>
      <c r="H15" s="492"/>
      <c r="I15" s="492"/>
      <c r="J15" s="492"/>
      <c r="K15" s="492"/>
      <c r="L15" s="492"/>
      <c r="M15" s="492"/>
      <c r="N15" s="492"/>
      <c r="O15" s="492"/>
      <c r="P15" s="492"/>
    </row>
    <row r="16" spans="1:17" ht="13.5" customHeight="1" x14ac:dyDescent="0.3">
      <c r="A16" s="493"/>
      <c r="B16" s="493"/>
      <c r="C16" s="265">
        <v>11313862.57</v>
      </c>
      <c r="D16" s="494">
        <v>3870757.99</v>
      </c>
      <c r="E16" s="494"/>
      <c r="F16" s="265">
        <v>3870757.99</v>
      </c>
      <c r="G16" s="265">
        <v>1370809.03</v>
      </c>
      <c r="H16" s="494">
        <v>1370809.03</v>
      </c>
      <c r="I16" s="494"/>
      <c r="J16" s="265">
        <v>1287105.1499999999</v>
      </c>
      <c r="K16" s="265">
        <v>1287105.1499999999</v>
      </c>
      <c r="L16" s="494">
        <v>7443104.5800000001</v>
      </c>
      <c r="M16" s="494"/>
      <c r="N16" s="494">
        <v>2499948.96</v>
      </c>
      <c r="O16" s="494"/>
      <c r="P16" s="265">
        <v>83703.88</v>
      </c>
    </row>
    <row r="17" spans="1:16" ht="14.25" customHeight="1" x14ac:dyDescent="0.3">
      <c r="A17" s="505" t="s">
        <v>595</v>
      </c>
      <c r="B17" s="505"/>
      <c r="C17" s="505"/>
      <c r="D17" s="505"/>
      <c r="E17" s="505"/>
      <c r="F17" s="505"/>
      <c r="G17" s="505"/>
      <c r="H17" s="505"/>
      <c r="I17" s="505"/>
      <c r="J17" s="505"/>
      <c r="K17" s="505"/>
      <c r="L17" s="505"/>
      <c r="M17" s="505"/>
      <c r="N17" s="505"/>
      <c r="O17" s="505"/>
      <c r="P17" s="505"/>
    </row>
    <row r="18" spans="1:16" ht="14.25" customHeight="1" x14ac:dyDescent="0.3">
      <c r="A18" s="496"/>
      <c r="B18" s="496"/>
      <c r="C18" s="266">
        <v>2137928.3199999998</v>
      </c>
      <c r="D18" s="497">
        <v>90699.34</v>
      </c>
      <c r="E18" s="497"/>
      <c r="F18" s="266">
        <v>90699.34</v>
      </c>
      <c r="G18" s="266">
        <v>19704.47</v>
      </c>
      <c r="H18" s="497">
        <v>19704.47</v>
      </c>
      <c r="I18" s="497"/>
      <c r="J18" s="266">
        <v>16594.29</v>
      </c>
      <c r="K18" s="266">
        <v>16594.29</v>
      </c>
      <c r="L18" s="497">
        <v>2047228.98</v>
      </c>
      <c r="M18" s="497"/>
      <c r="N18" s="497">
        <v>70994.87</v>
      </c>
      <c r="O18" s="497"/>
      <c r="P18" s="266">
        <v>3110.18</v>
      </c>
    </row>
    <row r="19" spans="1:16" ht="14.25" customHeight="1" x14ac:dyDescent="0.3">
      <c r="A19" s="510" t="s">
        <v>596</v>
      </c>
      <c r="B19" s="510"/>
      <c r="C19" s="510"/>
      <c r="D19" s="510"/>
      <c r="E19" s="510"/>
      <c r="F19" s="510"/>
      <c r="G19" s="510"/>
      <c r="H19" s="510"/>
      <c r="I19" s="510"/>
      <c r="J19" s="510"/>
      <c r="K19" s="510"/>
      <c r="L19" s="510"/>
      <c r="M19" s="510"/>
      <c r="N19" s="510"/>
      <c r="O19" s="510"/>
      <c r="P19" s="510"/>
    </row>
    <row r="20" spans="1:16" ht="14.25" customHeight="1" x14ac:dyDescent="0.3">
      <c r="A20" s="493"/>
      <c r="B20" s="493"/>
      <c r="C20" s="265">
        <v>123528.32000000001</v>
      </c>
      <c r="D20" s="494">
        <v>90699.34</v>
      </c>
      <c r="E20" s="494"/>
      <c r="F20" s="265">
        <v>90699.34</v>
      </c>
      <c r="G20" s="265">
        <v>19704.47</v>
      </c>
      <c r="H20" s="494">
        <v>19704.47</v>
      </c>
      <c r="I20" s="494"/>
      <c r="J20" s="265">
        <v>16594.29</v>
      </c>
      <c r="K20" s="265">
        <v>16594.29</v>
      </c>
      <c r="L20" s="494">
        <v>32828.980000000003</v>
      </c>
      <c r="M20" s="494"/>
      <c r="N20" s="494">
        <v>70994.87</v>
      </c>
      <c r="O20" s="494"/>
      <c r="P20" s="265">
        <v>3110.18</v>
      </c>
    </row>
    <row r="21" spans="1:16" ht="14.25" customHeight="1" x14ac:dyDescent="0.3">
      <c r="A21" s="495" t="s">
        <v>597</v>
      </c>
      <c r="B21" s="495"/>
      <c r="C21" s="495"/>
      <c r="D21" s="495"/>
      <c r="E21" s="495"/>
      <c r="F21" s="495"/>
      <c r="G21" s="495"/>
      <c r="H21" s="495"/>
      <c r="I21" s="495"/>
      <c r="J21" s="495"/>
      <c r="K21" s="495"/>
      <c r="L21" s="495"/>
      <c r="M21" s="495"/>
      <c r="N21" s="495"/>
      <c r="O21" s="495"/>
      <c r="P21" s="495"/>
    </row>
    <row r="22" spans="1:16" ht="14.25" customHeight="1" x14ac:dyDescent="0.3">
      <c r="A22" s="496"/>
      <c r="B22" s="496"/>
      <c r="C22" s="266">
        <v>41000</v>
      </c>
      <c r="D22" s="497">
        <v>0</v>
      </c>
      <c r="E22" s="497"/>
      <c r="F22" s="266">
        <v>0</v>
      </c>
      <c r="G22" s="266">
        <v>0</v>
      </c>
      <c r="H22" s="497">
        <v>0</v>
      </c>
      <c r="I22" s="497"/>
      <c r="J22" s="266">
        <v>0</v>
      </c>
      <c r="K22" s="266">
        <v>0</v>
      </c>
      <c r="L22" s="497">
        <v>41000</v>
      </c>
      <c r="M22" s="497"/>
      <c r="N22" s="497">
        <v>0</v>
      </c>
      <c r="O22" s="497"/>
      <c r="P22" s="266">
        <v>0</v>
      </c>
    </row>
    <row r="23" spans="1:16" ht="14.25" customHeight="1" x14ac:dyDescent="0.3">
      <c r="A23" s="510" t="s">
        <v>598</v>
      </c>
      <c r="B23" s="510"/>
      <c r="C23" s="510"/>
      <c r="D23" s="510"/>
      <c r="E23" s="510"/>
      <c r="F23" s="510"/>
      <c r="G23" s="510"/>
      <c r="H23" s="510"/>
      <c r="I23" s="510"/>
      <c r="J23" s="510"/>
      <c r="K23" s="510"/>
      <c r="L23" s="510"/>
      <c r="M23" s="510"/>
      <c r="N23" s="510"/>
      <c r="O23" s="510"/>
      <c r="P23" s="510"/>
    </row>
    <row r="24" spans="1:16" ht="14.25" customHeight="1" x14ac:dyDescent="0.3">
      <c r="A24" s="493"/>
      <c r="B24" s="493"/>
      <c r="C24" s="265">
        <v>80000</v>
      </c>
      <c r="D24" s="494">
        <v>0</v>
      </c>
      <c r="E24" s="494"/>
      <c r="F24" s="265">
        <v>0</v>
      </c>
      <c r="G24" s="265">
        <v>0</v>
      </c>
      <c r="H24" s="494">
        <v>0</v>
      </c>
      <c r="I24" s="494"/>
      <c r="J24" s="265">
        <v>0</v>
      </c>
      <c r="K24" s="265">
        <v>0</v>
      </c>
      <c r="L24" s="494">
        <v>80000</v>
      </c>
      <c r="M24" s="494"/>
      <c r="N24" s="494">
        <v>0</v>
      </c>
      <c r="O24" s="494"/>
      <c r="P24" s="265">
        <v>0</v>
      </c>
    </row>
    <row r="25" spans="1:16" ht="14.25" customHeight="1" x14ac:dyDescent="0.3">
      <c r="A25" s="495" t="s">
        <v>599</v>
      </c>
      <c r="B25" s="495"/>
      <c r="C25" s="495"/>
      <c r="D25" s="495"/>
      <c r="E25" s="495"/>
      <c r="F25" s="495"/>
      <c r="G25" s="495"/>
      <c r="H25" s="495"/>
      <c r="I25" s="495"/>
      <c r="J25" s="495"/>
      <c r="K25" s="495"/>
      <c r="L25" s="495"/>
      <c r="M25" s="495"/>
      <c r="N25" s="495"/>
      <c r="O25" s="495"/>
      <c r="P25" s="495"/>
    </row>
    <row r="26" spans="1:16" ht="13.5" customHeight="1" x14ac:dyDescent="0.3">
      <c r="A26" s="496"/>
      <c r="B26" s="496"/>
      <c r="C26" s="266">
        <v>268400</v>
      </c>
      <c r="D26" s="497">
        <v>0</v>
      </c>
      <c r="E26" s="497"/>
      <c r="F26" s="266">
        <v>0</v>
      </c>
      <c r="G26" s="266">
        <v>0</v>
      </c>
      <c r="H26" s="497">
        <v>0</v>
      </c>
      <c r="I26" s="497"/>
      <c r="J26" s="266">
        <v>0</v>
      </c>
      <c r="K26" s="266">
        <v>0</v>
      </c>
      <c r="L26" s="497">
        <v>268400</v>
      </c>
      <c r="M26" s="497"/>
      <c r="N26" s="497">
        <v>0</v>
      </c>
      <c r="O26" s="497"/>
      <c r="P26" s="266">
        <v>0</v>
      </c>
    </row>
    <row r="27" spans="1:16" ht="14.25" customHeight="1" x14ac:dyDescent="0.3">
      <c r="A27" s="510" t="s">
        <v>600</v>
      </c>
      <c r="B27" s="510"/>
      <c r="C27" s="510"/>
      <c r="D27" s="510"/>
      <c r="E27" s="510"/>
      <c r="F27" s="510"/>
      <c r="G27" s="510"/>
      <c r="H27" s="510"/>
      <c r="I27" s="510"/>
      <c r="J27" s="510"/>
      <c r="K27" s="510"/>
      <c r="L27" s="510"/>
      <c r="M27" s="510"/>
      <c r="N27" s="510"/>
      <c r="O27" s="510"/>
      <c r="P27" s="510"/>
    </row>
    <row r="28" spans="1:16" ht="14.25" customHeight="1" x14ac:dyDescent="0.3">
      <c r="A28" s="493"/>
      <c r="B28" s="493"/>
      <c r="C28" s="265">
        <v>800000</v>
      </c>
      <c r="D28" s="494">
        <v>0</v>
      </c>
      <c r="E28" s="494"/>
      <c r="F28" s="265">
        <v>0</v>
      </c>
      <c r="G28" s="265">
        <v>0</v>
      </c>
      <c r="H28" s="494">
        <v>0</v>
      </c>
      <c r="I28" s="494"/>
      <c r="J28" s="265">
        <v>0</v>
      </c>
      <c r="K28" s="265">
        <v>0</v>
      </c>
      <c r="L28" s="494">
        <v>800000</v>
      </c>
      <c r="M28" s="494"/>
      <c r="N28" s="494">
        <v>0</v>
      </c>
      <c r="O28" s="494"/>
      <c r="P28" s="265">
        <v>0</v>
      </c>
    </row>
    <row r="29" spans="1:16" ht="14.25" customHeight="1" x14ac:dyDescent="0.3">
      <c r="A29" s="495" t="s">
        <v>601</v>
      </c>
      <c r="B29" s="495"/>
      <c r="C29" s="495"/>
      <c r="D29" s="495"/>
      <c r="E29" s="495"/>
      <c r="F29" s="495"/>
      <c r="G29" s="495"/>
      <c r="H29" s="495"/>
      <c r="I29" s="495"/>
      <c r="J29" s="495"/>
      <c r="K29" s="495"/>
      <c r="L29" s="495"/>
      <c r="M29" s="495"/>
      <c r="N29" s="495"/>
      <c r="O29" s="495"/>
      <c r="P29" s="495"/>
    </row>
    <row r="30" spans="1:16" ht="14.25" customHeight="1" x14ac:dyDescent="0.3">
      <c r="A30" s="496"/>
      <c r="B30" s="496"/>
      <c r="C30" s="266">
        <v>640000</v>
      </c>
      <c r="D30" s="497">
        <v>0</v>
      </c>
      <c r="E30" s="497"/>
      <c r="F30" s="266">
        <v>0</v>
      </c>
      <c r="G30" s="266">
        <v>0</v>
      </c>
      <c r="H30" s="497">
        <v>0</v>
      </c>
      <c r="I30" s="497"/>
      <c r="J30" s="266">
        <v>0</v>
      </c>
      <c r="K30" s="266">
        <v>0</v>
      </c>
      <c r="L30" s="497">
        <v>640000</v>
      </c>
      <c r="M30" s="497"/>
      <c r="N30" s="497">
        <v>0</v>
      </c>
      <c r="O30" s="497"/>
      <c r="P30" s="266">
        <v>0</v>
      </c>
    </row>
    <row r="31" spans="1:16" ht="14.25" customHeight="1" x14ac:dyDescent="0.3">
      <c r="A31" s="510" t="s">
        <v>602</v>
      </c>
      <c r="B31" s="510"/>
      <c r="C31" s="510"/>
      <c r="D31" s="510"/>
      <c r="E31" s="510"/>
      <c r="F31" s="510"/>
      <c r="G31" s="510"/>
      <c r="H31" s="510"/>
      <c r="I31" s="510"/>
      <c r="J31" s="510"/>
      <c r="K31" s="510"/>
      <c r="L31" s="510"/>
      <c r="M31" s="510"/>
      <c r="N31" s="510"/>
      <c r="O31" s="510"/>
      <c r="P31" s="510"/>
    </row>
    <row r="32" spans="1:16" ht="14.25" customHeight="1" x14ac:dyDescent="0.3">
      <c r="A32" s="493"/>
      <c r="B32" s="493"/>
      <c r="C32" s="265">
        <v>5000</v>
      </c>
      <c r="D32" s="494">
        <v>0</v>
      </c>
      <c r="E32" s="494"/>
      <c r="F32" s="265">
        <v>0</v>
      </c>
      <c r="G32" s="265">
        <v>0</v>
      </c>
      <c r="H32" s="494">
        <v>0</v>
      </c>
      <c r="I32" s="494"/>
      <c r="J32" s="265">
        <v>0</v>
      </c>
      <c r="K32" s="265">
        <v>0</v>
      </c>
      <c r="L32" s="494">
        <v>5000</v>
      </c>
      <c r="M32" s="494"/>
      <c r="N32" s="494">
        <v>0</v>
      </c>
      <c r="O32" s="494"/>
      <c r="P32" s="265">
        <v>0</v>
      </c>
    </row>
    <row r="33" spans="1:16" ht="14.25" customHeight="1" x14ac:dyDescent="0.3">
      <c r="A33" s="495" t="s">
        <v>603</v>
      </c>
      <c r="B33" s="495"/>
      <c r="C33" s="495"/>
      <c r="D33" s="495"/>
      <c r="E33" s="495"/>
      <c r="F33" s="495"/>
      <c r="G33" s="495"/>
      <c r="H33" s="495"/>
      <c r="I33" s="495"/>
      <c r="J33" s="495"/>
      <c r="K33" s="495"/>
      <c r="L33" s="495"/>
      <c r="M33" s="495"/>
      <c r="N33" s="495"/>
      <c r="O33" s="495"/>
      <c r="P33" s="495"/>
    </row>
    <row r="34" spans="1:16" ht="14.25" customHeight="1" x14ac:dyDescent="0.3">
      <c r="A34" s="496"/>
      <c r="B34" s="496"/>
      <c r="C34" s="266">
        <v>50000</v>
      </c>
      <c r="D34" s="497">
        <v>0</v>
      </c>
      <c r="E34" s="497"/>
      <c r="F34" s="266">
        <v>0</v>
      </c>
      <c r="G34" s="266">
        <v>0</v>
      </c>
      <c r="H34" s="497">
        <v>0</v>
      </c>
      <c r="I34" s="497"/>
      <c r="J34" s="266">
        <v>0</v>
      </c>
      <c r="K34" s="266">
        <v>0</v>
      </c>
      <c r="L34" s="497">
        <v>50000</v>
      </c>
      <c r="M34" s="497"/>
      <c r="N34" s="497">
        <v>0</v>
      </c>
      <c r="O34" s="497"/>
      <c r="P34" s="266">
        <v>0</v>
      </c>
    </row>
    <row r="35" spans="1:16" ht="14.25" customHeight="1" x14ac:dyDescent="0.3">
      <c r="A35" s="510" t="s">
        <v>604</v>
      </c>
      <c r="B35" s="510"/>
      <c r="C35" s="510"/>
      <c r="D35" s="510"/>
      <c r="E35" s="510"/>
      <c r="F35" s="510"/>
      <c r="G35" s="510"/>
      <c r="H35" s="510"/>
      <c r="I35" s="510"/>
      <c r="J35" s="510"/>
      <c r="K35" s="510"/>
      <c r="L35" s="510"/>
      <c r="M35" s="510"/>
      <c r="N35" s="510"/>
      <c r="O35" s="510"/>
      <c r="P35" s="510"/>
    </row>
    <row r="36" spans="1:16" ht="13.5" customHeight="1" x14ac:dyDescent="0.3">
      <c r="A36" s="493"/>
      <c r="B36" s="493"/>
      <c r="C36" s="265">
        <v>30000</v>
      </c>
      <c r="D36" s="494">
        <v>0</v>
      </c>
      <c r="E36" s="494"/>
      <c r="F36" s="265">
        <v>0</v>
      </c>
      <c r="G36" s="265">
        <v>0</v>
      </c>
      <c r="H36" s="494">
        <v>0</v>
      </c>
      <c r="I36" s="494"/>
      <c r="J36" s="265">
        <v>0</v>
      </c>
      <c r="K36" s="265">
        <v>0</v>
      </c>
      <c r="L36" s="494">
        <v>30000</v>
      </c>
      <c r="M36" s="494"/>
      <c r="N36" s="494">
        <v>0</v>
      </c>
      <c r="O36" s="494"/>
      <c r="P36" s="265">
        <v>0</v>
      </c>
    </row>
    <row r="37" spans="1:16" ht="14.25" customHeight="1" x14ac:dyDescent="0.3">
      <c r="A37" s="495" t="s">
        <v>605</v>
      </c>
      <c r="B37" s="495"/>
      <c r="C37" s="495"/>
      <c r="D37" s="495"/>
      <c r="E37" s="495"/>
      <c r="F37" s="495"/>
      <c r="G37" s="495"/>
      <c r="H37" s="495"/>
      <c r="I37" s="495"/>
      <c r="J37" s="495"/>
      <c r="K37" s="495"/>
      <c r="L37" s="495"/>
      <c r="M37" s="495"/>
      <c r="N37" s="495"/>
      <c r="O37" s="495"/>
      <c r="P37" s="495"/>
    </row>
    <row r="38" spans="1:16" ht="14.25" customHeight="1" x14ac:dyDescent="0.3">
      <c r="A38" s="496"/>
      <c r="B38" s="496"/>
      <c r="C38" s="266">
        <v>100000</v>
      </c>
      <c r="D38" s="497">
        <v>0</v>
      </c>
      <c r="E38" s="497"/>
      <c r="F38" s="266">
        <v>0</v>
      </c>
      <c r="G38" s="266">
        <v>0</v>
      </c>
      <c r="H38" s="497">
        <v>0</v>
      </c>
      <c r="I38" s="497"/>
      <c r="J38" s="266">
        <v>0</v>
      </c>
      <c r="K38" s="266">
        <v>0</v>
      </c>
      <c r="L38" s="497">
        <v>100000</v>
      </c>
      <c r="M38" s="497"/>
      <c r="N38" s="497">
        <v>0</v>
      </c>
      <c r="O38" s="497"/>
      <c r="P38" s="266">
        <v>0</v>
      </c>
    </row>
    <row r="39" spans="1:16" ht="14.25" customHeight="1" x14ac:dyDescent="0.3">
      <c r="A39" s="492" t="s">
        <v>606</v>
      </c>
      <c r="B39" s="492"/>
      <c r="C39" s="492"/>
      <c r="D39" s="492"/>
      <c r="E39" s="492"/>
      <c r="F39" s="492"/>
      <c r="G39" s="492"/>
      <c r="H39" s="492"/>
      <c r="I39" s="492"/>
      <c r="J39" s="492"/>
      <c r="K39" s="492"/>
      <c r="L39" s="492"/>
      <c r="M39" s="492"/>
      <c r="N39" s="492"/>
      <c r="O39" s="492"/>
      <c r="P39" s="492"/>
    </row>
    <row r="40" spans="1:16" ht="14.25" customHeight="1" x14ac:dyDescent="0.3">
      <c r="A40" s="493"/>
      <c r="B40" s="493"/>
      <c r="C40" s="265">
        <v>4415384.84</v>
      </c>
      <c r="D40" s="494">
        <v>197955.81</v>
      </c>
      <c r="E40" s="494"/>
      <c r="F40" s="265">
        <v>197955.81</v>
      </c>
      <c r="G40" s="265">
        <v>77605.240000000005</v>
      </c>
      <c r="H40" s="494">
        <v>77605.240000000005</v>
      </c>
      <c r="I40" s="494"/>
      <c r="J40" s="265">
        <v>71963.8</v>
      </c>
      <c r="K40" s="265">
        <v>71963.8</v>
      </c>
      <c r="L40" s="494">
        <v>4217429.03</v>
      </c>
      <c r="M40" s="494"/>
      <c r="N40" s="494">
        <v>120350.57</v>
      </c>
      <c r="O40" s="494"/>
      <c r="P40" s="265">
        <v>5641.44</v>
      </c>
    </row>
    <row r="41" spans="1:16" ht="14.25" customHeight="1" x14ac:dyDescent="0.3">
      <c r="A41" s="495" t="s">
        <v>607</v>
      </c>
      <c r="B41" s="495"/>
      <c r="C41" s="495"/>
      <c r="D41" s="495"/>
      <c r="E41" s="495"/>
      <c r="F41" s="495"/>
      <c r="G41" s="495"/>
      <c r="H41" s="495"/>
      <c r="I41" s="495"/>
      <c r="J41" s="495"/>
      <c r="K41" s="495"/>
      <c r="L41" s="495"/>
      <c r="M41" s="495"/>
      <c r="N41" s="495"/>
      <c r="O41" s="495"/>
      <c r="P41" s="495"/>
    </row>
    <row r="42" spans="1:16" ht="14.25" customHeight="1" x14ac:dyDescent="0.3">
      <c r="A42" s="496"/>
      <c r="B42" s="496"/>
      <c r="C42" s="266">
        <v>250384.84</v>
      </c>
      <c r="D42" s="497">
        <v>197955.81</v>
      </c>
      <c r="E42" s="497"/>
      <c r="F42" s="266">
        <v>197955.81</v>
      </c>
      <c r="G42" s="267">
        <v>77605.240000000005</v>
      </c>
      <c r="H42" s="498">
        <v>77605.240000000005</v>
      </c>
      <c r="I42" s="498"/>
      <c r="J42" s="266">
        <v>71963.8</v>
      </c>
      <c r="K42" s="266">
        <v>71963.8</v>
      </c>
      <c r="L42" s="497">
        <v>52429.03</v>
      </c>
      <c r="M42" s="497"/>
      <c r="N42" s="497">
        <v>120350.57</v>
      </c>
      <c r="O42" s="497"/>
      <c r="P42" s="266">
        <v>5641.44</v>
      </c>
    </row>
    <row r="43" spans="1:16" ht="14.25" customHeight="1" x14ac:dyDescent="0.3">
      <c r="A43" s="510" t="s">
        <v>608</v>
      </c>
      <c r="B43" s="510"/>
      <c r="C43" s="510"/>
      <c r="D43" s="510"/>
      <c r="E43" s="510"/>
      <c r="F43" s="510"/>
      <c r="G43" s="510"/>
      <c r="H43" s="510"/>
      <c r="I43" s="510"/>
      <c r="J43" s="510"/>
      <c r="K43" s="510"/>
      <c r="L43" s="510"/>
      <c r="M43" s="510"/>
      <c r="N43" s="510"/>
      <c r="O43" s="510"/>
      <c r="P43" s="510"/>
    </row>
    <row r="44" spans="1:16" ht="14.25" customHeight="1" x14ac:dyDescent="0.3">
      <c r="A44" s="493"/>
      <c r="B44" s="493"/>
      <c r="C44" s="265">
        <v>4000000</v>
      </c>
      <c r="D44" s="494">
        <v>0</v>
      </c>
      <c r="E44" s="494"/>
      <c r="F44" s="265">
        <v>0</v>
      </c>
      <c r="G44" s="265">
        <v>0</v>
      </c>
      <c r="H44" s="494">
        <v>0</v>
      </c>
      <c r="I44" s="494"/>
      <c r="J44" s="265">
        <v>0</v>
      </c>
      <c r="K44" s="265">
        <v>0</v>
      </c>
      <c r="L44" s="494">
        <v>4000000</v>
      </c>
      <c r="M44" s="494"/>
      <c r="N44" s="494">
        <v>0</v>
      </c>
      <c r="O44" s="494"/>
      <c r="P44" s="265">
        <v>0</v>
      </c>
    </row>
    <row r="45" spans="1:16" ht="14.25" customHeight="1" x14ac:dyDescent="0.3">
      <c r="A45" s="495" t="s">
        <v>609</v>
      </c>
      <c r="B45" s="495"/>
      <c r="C45" s="495"/>
      <c r="D45" s="495"/>
      <c r="E45" s="495"/>
      <c r="F45" s="495"/>
      <c r="G45" s="495"/>
      <c r="H45" s="495"/>
      <c r="I45" s="495"/>
      <c r="J45" s="495"/>
      <c r="K45" s="495"/>
      <c r="L45" s="495"/>
      <c r="M45" s="495"/>
      <c r="N45" s="495"/>
      <c r="O45" s="495"/>
      <c r="P45" s="495"/>
    </row>
    <row r="46" spans="1:16" ht="13.5" customHeight="1" x14ac:dyDescent="0.3">
      <c r="A46" s="496"/>
      <c r="B46" s="496"/>
      <c r="C46" s="266">
        <v>150000</v>
      </c>
      <c r="D46" s="497">
        <v>0</v>
      </c>
      <c r="E46" s="497"/>
      <c r="F46" s="266">
        <v>0</v>
      </c>
      <c r="G46" s="266">
        <v>0</v>
      </c>
      <c r="H46" s="497">
        <v>0</v>
      </c>
      <c r="I46" s="497"/>
      <c r="J46" s="266">
        <v>0</v>
      </c>
      <c r="K46" s="266">
        <v>0</v>
      </c>
      <c r="L46" s="497">
        <v>150000</v>
      </c>
      <c r="M46" s="497"/>
      <c r="N46" s="497">
        <v>0</v>
      </c>
      <c r="O46" s="497"/>
      <c r="P46" s="266">
        <v>0</v>
      </c>
    </row>
    <row r="47" spans="1:16" ht="14.25" customHeight="1" x14ac:dyDescent="0.3">
      <c r="A47" s="510" t="s">
        <v>610</v>
      </c>
      <c r="B47" s="510"/>
      <c r="C47" s="510"/>
      <c r="D47" s="510"/>
      <c r="E47" s="510"/>
      <c r="F47" s="510"/>
      <c r="G47" s="510"/>
      <c r="H47" s="510"/>
      <c r="I47" s="510"/>
      <c r="J47" s="510"/>
      <c r="K47" s="510"/>
      <c r="L47" s="510"/>
      <c r="M47" s="510"/>
      <c r="N47" s="510"/>
      <c r="O47" s="510"/>
      <c r="P47" s="510"/>
    </row>
    <row r="48" spans="1:16" ht="14.25" customHeight="1" x14ac:dyDescent="0.3">
      <c r="A48" s="493"/>
      <c r="B48" s="493"/>
      <c r="C48" s="265">
        <v>15000</v>
      </c>
      <c r="D48" s="494">
        <v>0</v>
      </c>
      <c r="E48" s="494"/>
      <c r="F48" s="265">
        <v>0</v>
      </c>
      <c r="G48" s="265">
        <v>0</v>
      </c>
      <c r="H48" s="494">
        <v>0</v>
      </c>
      <c r="I48" s="494"/>
      <c r="J48" s="265">
        <v>0</v>
      </c>
      <c r="K48" s="265">
        <v>0</v>
      </c>
      <c r="L48" s="494">
        <v>15000</v>
      </c>
      <c r="M48" s="494"/>
      <c r="N48" s="494">
        <v>0</v>
      </c>
      <c r="O48" s="494"/>
      <c r="P48" s="265">
        <v>0</v>
      </c>
    </row>
    <row r="49" spans="1:18" ht="14.25" customHeight="1" x14ac:dyDescent="0.3">
      <c r="A49" s="505" t="s">
        <v>611</v>
      </c>
      <c r="B49" s="505"/>
      <c r="C49" s="505"/>
      <c r="D49" s="505"/>
      <c r="E49" s="505"/>
      <c r="F49" s="505"/>
      <c r="G49" s="505"/>
      <c r="H49" s="505"/>
      <c r="I49" s="505"/>
      <c r="J49" s="505"/>
      <c r="K49" s="505"/>
      <c r="L49" s="505"/>
      <c r="M49" s="505"/>
      <c r="N49" s="505"/>
      <c r="O49" s="505"/>
      <c r="P49" s="505"/>
    </row>
    <row r="50" spans="1:18" ht="14.25" customHeight="1" x14ac:dyDescent="0.3">
      <c r="A50" s="496"/>
      <c r="B50" s="496"/>
      <c r="C50" s="266">
        <v>329992.39</v>
      </c>
      <c r="D50" s="497">
        <v>192865.35</v>
      </c>
      <c r="E50" s="497"/>
      <c r="F50" s="266">
        <v>192865.35</v>
      </c>
      <c r="G50" s="266">
        <v>98914.62</v>
      </c>
      <c r="H50" s="497">
        <v>98914.62</v>
      </c>
      <c r="I50" s="497"/>
      <c r="J50" s="266">
        <v>83762.740000000005</v>
      </c>
      <c r="K50" s="266">
        <v>83762.740000000005</v>
      </c>
      <c r="L50" s="497">
        <v>137127.04000000001</v>
      </c>
      <c r="M50" s="497"/>
      <c r="N50" s="497">
        <v>93950.73</v>
      </c>
      <c r="O50" s="497"/>
      <c r="P50" s="266">
        <v>15151.88</v>
      </c>
    </row>
    <row r="51" spans="1:18" ht="14.25" customHeight="1" x14ac:dyDescent="0.3">
      <c r="A51" s="507" t="s">
        <v>612</v>
      </c>
      <c r="B51" s="507"/>
      <c r="C51" s="507"/>
      <c r="D51" s="507"/>
      <c r="E51" s="507"/>
      <c r="F51" s="507"/>
      <c r="G51" s="507"/>
      <c r="H51" s="507"/>
      <c r="I51" s="507"/>
      <c r="J51" s="507"/>
      <c r="K51" s="507"/>
      <c r="L51" s="507"/>
      <c r="M51" s="507"/>
      <c r="N51" s="507"/>
      <c r="O51" s="507"/>
      <c r="P51" s="507"/>
      <c r="R51" s="293" t="s">
        <v>399</v>
      </c>
    </row>
    <row r="52" spans="1:18" ht="14.25" customHeight="1" x14ac:dyDescent="0.3">
      <c r="A52" s="503"/>
      <c r="B52" s="503"/>
      <c r="C52" s="268">
        <v>169992.39</v>
      </c>
      <c r="D52" s="504">
        <v>136912.45000000001</v>
      </c>
      <c r="E52" s="504"/>
      <c r="F52" s="268">
        <v>136912.45000000001</v>
      </c>
      <c r="G52" s="268">
        <v>72635.77</v>
      </c>
      <c r="H52" s="504">
        <v>72635.77</v>
      </c>
      <c r="I52" s="504"/>
      <c r="J52" s="268">
        <v>66076.22</v>
      </c>
      <c r="K52" s="268">
        <v>66076.22</v>
      </c>
      <c r="L52" s="504">
        <v>33079.94</v>
      </c>
      <c r="M52" s="504"/>
      <c r="N52" s="504">
        <v>64276.68</v>
      </c>
      <c r="O52" s="504"/>
      <c r="P52" s="268">
        <v>6559.55</v>
      </c>
    </row>
    <row r="53" spans="1:18" ht="14.25" customHeight="1" x14ac:dyDescent="0.3">
      <c r="A53" s="507" t="s">
        <v>383</v>
      </c>
      <c r="B53" s="507"/>
      <c r="C53" s="507"/>
      <c r="D53" s="507"/>
      <c r="E53" s="507"/>
      <c r="F53" s="507"/>
      <c r="G53" s="507"/>
      <c r="H53" s="507"/>
      <c r="I53" s="507"/>
      <c r="J53" s="507"/>
      <c r="K53" s="507"/>
      <c r="L53" s="507"/>
      <c r="M53" s="507"/>
      <c r="N53" s="507"/>
      <c r="O53" s="507"/>
      <c r="P53" s="507"/>
      <c r="R53" s="293" t="s">
        <v>401</v>
      </c>
    </row>
    <row r="54" spans="1:18" ht="14.25" customHeight="1" x14ac:dyDescent="0.3">
      <c r="A54" s="502"/>
      <c r="B54" s="502"/>
      <c r="C54" s="267">
        <v>50000</v>
      </c>
      <c r="D54" s="498">
        <v>23872.87</v>
      </c>
      <c r="E54" s="498"/>
      <c r="F54" s="267">
        <v>23872.87</v>
      </c>
      <c r="G54" s="267">
        <v>17956.169999999998</v>
      </c>
      <c r="H54" s="498">
        <v>17956.169999999998</v>
      </c>
      <c r="I54" s="498"/>
      <c r="J54" s="267">
        <v>13525.46</v>
      </c>
      <c r="K54" s="267">
        <v>13525.46</v>
      </c>
      <c r="L54" s="498">
        <v>26127.13</v>
      </c>
      <c r="M54" s="498"/>
      <c r="N54" s="498">
        <v>5916.7</v>
      </c>
      <c r="O54" s="498"/>
      <c r="P54" s="267">
        <v>4430.71</v>
      </c>
    </row>
    <row r="55" spans="1:18" ht="14.25" customHeight="1" x14ac:dyDescent="0.3">
      <c r="A55" s="507" t="s">
        <v>613</v>
      </c>
      <c r="B55" s="507"/>
      <c r="C55" s="507"/>
      <c r="D55" s="507"/>
      <c r="E55" s="507"/>
      <c r="F55" s="507"/>
      <c r="G55" s="507"/>
      <c r="H55" s="507"/>
      <c r="I55" s="507"/>
      <c r="J55" s="507"/>
      <c r="K55" s="507"/>
      <c r="L55" s="507"/>
      <c r="M55" s="507"/>
      <c r="N55" s="507"/>
      <c r="O55" s="507"/>
      <c r="P55" s="507"/>
      <c r="R55" s="293" t="s">
        <v>403</v>
      </c>
    </row>
    <row r="56" spans="1:18" ht="13.5" customHeight="1" x14ac:dyDescent="0.3">
      <c r="A56" s="503"/>
      <c r="B56" s="503"/>
      <c r="C56" s="268">
        <v>40000</v>
      </c>
      <c r="D56" s="504">
        <v>12025</v>
      </c>
      <c r="E56" s="504"/>
      <c r="F56" s="268">
        <v>12025</v>
      </c>
      <c r="G56" s="268">
        <v>4601.63</v>
      </c>
      <c r="H56" s="504">
        <v>4601.63</v>
      </c>
      <c r="I56" s="504"/>
      <c r="J56" s="268">
        <v>2025</v>
      </c>
      <c r="K56" s="268">
        <v>2025</v>
      </c>
      <c r="L56" s="504">
        <v>27975</v>
      </c>
      <c r="M56" s="504"/>
      <c r="N56" s="504">
        <v>7423.37</v>
      </c>
      <c r="O56" s="504"/>
      <c r="P56" s="268">
        <v>2576.63</v>
      </c>
    </row>
    <row r="57" spans="1:18" ht="14.25" customHeight="1" x14ac:dyDescent="0.3">
      <c r="A57" s="507" t="s">
        <v>614</v>
      </c>
      <c r="B57" s="507"/>
      <c r="C57" s="507"/>
      <c r="D57" s="507"/>
      <c r="E57" s="507"/>
      <c r="F57" s="507"/>
      <c r="G57" s="507"/>
      <c r="H57" s="507"/>
      <c r="I57" s="507"/>
      <c r="J57" s="507"/>
      <c r="K57" s="507"/>
      <c r="L57" s="507"/>
      <c r="M57" s="507"/>
      <c r="N57" s="507"/>
      <c r="O57" s="507"/>
      <c r="P57" s="507"/>
      <c r="R57" s="293" t="s">
        <v>402</v>
      </c>
    </row>
    <row r="58" spans="1:18" ht="14.25" customHeight="1" x14ac:dyDescent="0.3">
      <c r="A58" s="502"/>
      <c r="B58" s="502"/>
      <c r="C58" s="267">
        <v>35000</v>
      </c>
      <c r="D58" s="498">
        <v>9918.9699999999993</v>
      </c>
      <c r="E58" s="498"/>
      <c r="F58" s="267">
        <v>9918.9699999999993</v>
      </c>
      <c r="G58" s="267">
        <v>1584.99</v>
      </c>
      <c r="H58" s="498">
        <v>1584.99</v>
      </c>
      <c r="I58" s="498"/>
      <c r="J58" s="267">
        <v>0</v>
      </c>
      <c r="K58" s="267">
        <v>0</v>
      </c>
      <c r="L58" s="498">
        <v>25081.03</v>
      </c>
      <c r="M58" s="498"/>
      <c r="N58" s="498">
        <v>8333.98</v>
      </c>
      <c r="O58" s="498"/>
      <c r="P58" s="267">
        <v>1584.99</v>
      </c>
    </row>
    <row r="59" spans="1:18" ht="14.25" customHeight="1" x14ac:dyDescent="0.3">
      <c r="A59" s="507" t="s">
        <v>382</v>
      </c>
      <c r="B59" s="507"/>
      <c r="C59" s="507"/>
      <c r="D59" s="507"/>
      <c r="E59" s="507"/>
      <c r="F59" s="507"/>
      <c r="G59" s="507"/>
      <c r="H59" s="507"/>
      <c r="I59" s="507"/>
      <c r="J59" s="507"/>
      <c r="K59" s="507"/>
      <c r="L59" s="507"/>
      <c r="M59" s="507"/>
      <c r="N59" s="507"/>
      <c r="O59" s="507"/>
      <c r="P59" s="507"/>
      <c r="R59" s="293" t="s">
        <v>400</v>
      </c>
    </row>
    <row r="60" spans="1:18" s="229" customFormat="1" ht="14.25" customHeight="1" x14ac:dyDescent="0.3">
      <c r="A60" s="508"/>
      <c r="B60" s="508"/>
      <c r="C60" s="269">
        <v>35000</v>
      </c>
      <c r="D60" s="509">
        <v>10136.06</v>
      </c>
      <c r="E60" s="509"/>
      <c r="F60" s="269">
        <v>10136.06</v>
      </c>
      <c r="G60" s="269">
        <v>2136.06</v>
      </c>
      <c r="H60" s="509">
        <v>2136.06</v>
      </c>
      <c r="I60" s="509"/>
      <c r="J60" s="269">
        <v>2136.06</v>
      </c>
      <c r="K60" s="269">
        <v>2136.06</v>
      </c>
      <c r="L60" s="509">
        <v>24863.94</v>
      </c>
      <c r="M60" s="509"/>
      <c r="N60" s="509">
        <v>8000</v>
      </c>
      <c r="O60" s="509"/>
      <c r="P60" s="269">
        <v>0</v>
      </c>
      <c r="R60"/>
    </row>
    <row r="61" spans="1:18" s="229" customFormat="1" ht="14.25" customHeight="1" x14ac:dyDescent="0.3">
      <c r="A61" s="506" t="s">
        <v>615</v>
      </c>
      <c r="B61" s="506"/>
      <c r="C61" s="506"/>
      <c r="D61" s="506"/>
      <c r="E61" s="506"/>
      <c r="F61" s="506"/>
      <c r="G61" s="506"/>
      <c r="H61" s="506"/>
      <c r="I61" s="506"/>
      <c r="J61" s="506"/>
      <c r="K61" s="506"/>
      <c r="L61" s="506"/>
      <c r="M61" s="506"/>
      <c r="N61" s="506"/>
      <c r="O61" s="506"/>
      <c r="P61" s="506"/>
      <c r="R61"/>
    </row>
    <row r="62" spans="1:18" ht="14.25" customHeight="1" x14ac:dyDescent="0.3">
      <c r="A62" s="496"/>
      <c r="B62" s="496"/>
      <c r="C62" s="266">
        <v>50000</v>
      </c>
      <c r="D62" s="497">
        <v>14211.1</v>
      </c>
      <c r="E62" s="497"/>
      <c r="F62" s="266">
        <v>14211.1</v>
      </c>
      <c r="G62" s="266">
        <v>4211.1000000000004</v>
      </c>
      <c r="H62" s="497">
        <v>4211.1000000000004</v>
      </c>
      <c r="I62" s="497"/>
      <c r="J62" s="266">
        <v>4211.1000000000004</v>
      </c>
      <c r="K62" s="266">
        <v>4211.1000000000004</v>
      </c>
      <c r="L62" s="497">
        <v>35788.9</v>
      </c>
      <c r="M62" s="497"/>
      <c r="N62" s="497">
        <v>10000</v>
      </c>
      <c r="O62" s="497"/>
      <c r="P62" s="266">
        <v>0</v>
      </c>
    </row>
    <row r="63" spans="1:18" ht="14.25" customHeight="1" x14ac:dyDescent="0.3">
      <c r="A63" s="499" t="s">
        <v>616</v>
      </c>
      <c r="B63" s="499"/>
      <c r="C63" s="499"/>
      <c r="D63" s="499"/>
      <c r="E63" s="499"/>
      <c r="F63" s="499"/>
      <c r="G63" s="499"/>
      <c r="H63" s="499"/>
      <c r="I63" s="499"/>
      <c r="J63" s="499"/>
      <c r="K63" s="499"/>
      <c r="L63" s="499"/>
      <c r="M63" s="499"/>
      <c r="N63" s="499"/>
      <c r="O63" s="499"/>
      <c r="P63" s="499"/>
    </row>
    <row r="64" spans="1:18" ht="14.25" customHeight="1" x14ac:dyDescent="0.3">
      <c r="A64" s="493"/>
      <c r="B64" s="493"/>
      <c r="C64" s="265">
        <v>25000</v>
      </c>
      <c r="D64" s="494">
        <v>5000</v>
      </c>
      <c r="E64" s="494"/>
      <c r="F64" s="265">
        <v>5000</v>
      </c>
      <c r="G64" s="265">
        <v>0</v>
      </c>
      <c r="H64" s="494">
        <v>0</v>
      </c>
      <c r="I64" s="494"/>
      <c r="J64" s="265">
        <v>0</v>
      </c>
      <c r="K64" s="265">
        <v>0</v>
      </c>
      <c r="L64" s="494">
        <v>20000</v>
      </c>
      <c r="M64" s="494"/>
      <c r="N64" s="494">
        <v>5000</v>
      </c>
      <c r="O64" s="494"/>
      <c r="P64" s="265">
        <v>0</v>
      </c>
    </row>
    <row r="65" spans="1:18" ht="13.5" customHeight="1" x14ac:dyDescent="0.3">
      <c r="A65" s="495" t="s">
        <v>617</v>
      </c>
      <c r="B65" s="495"/>
      <c r="C65" s="495"/>
      <c r="D65" s="495"/>
      <c r="E65" s="495"/>
      <c r="F65" s="495"/>
      <c r="G65" s="495"/>
      <c r="H65" s="495"/>
      <c r="I65" s="495"/>
      <c r="J65" s="495"/>
      <c r="K65" s="495"/>
      <c r="L65" s="495"/>
      <c r="M65" s="495"/>
      <c r="N65" s="495"/>
      <c r="O65" s="495"/>
      <c r="P65" s="495"/>
      <c r="R65" s="293" t="s">
        <v>404</v>
      </c>
    </row>
    <row r="66" spans="1:18" ht="14.25" customHeight="1" x14ac:dyDescent="0.3">
      <c r="A66" s="496"/>
      <c r="B66" s="496"/>
      <c r="C66" s="266">
        <v>25000</v>
      </c>
      <c r="D66" s="497">
        <v>9211.1</v>
      </c>
      <c r="E66" s="497"/>
      <c r="F66" s="266">
        <v>9211.1</v>
      </c>
      <c r="G66" s="266">
        <v>4211.1000000000004</v>
      </c>
      <c r="H66" s="497">
        <v>4211.1000000000004</v>
      </c>
      <c r="I66" s="497"/>
      <c r="J66" s="266">
        <v>4211.1000000000004</v>
      </c>
      <c r="K66" s="266">
        <v>4211.1000000000004</v>
      </c>
      <c r="L66" s="497">
        <v>15788.9</v>
      </c>
      <c r="M66" s="497"/>
      <c r="N66" s="497">
        <v>5000</v>
      </c>
      <c r="O66" s="497"/>
      <c r="P66" s="266">
        <v>0</v>
      </c>
    </row>
    <row r="67" spans="1:18" ht="14.25" customHeight="1" x14ac:dyDescent="0.3">
      <c r="A67" s="492" t="s">
        <v>618</v>
      </c>
      <c r="B67" s="492"/>
      <c r="C67" s="492"/>
      <c r="D67" s="492"/>
      <c r="E67" s="492"/>
      <c r="F67" s="492"/>
      <c r="G67" s="492"/>
      <c r="H67" s="492"/>
      <c r="I67" s="492"/>
      <c r="J67" s="492"/>
      <c r="K67" s="492"/>
      <c r="L67" s="492"/>
      <c r="M67" s="492"/>
      <c r="N67" s="492"/>
      <c r="O67" s="492"/>
      <c r="P67" s="492"/>
    </row>
    <row r="68" spans="1:18" ht="14.25" customHeight="1" x14ac:dyDescent="0.3">
      <c r="A68" s="493"/>
      <c r="B68" s="493"/>
      <c r="C68" s="265">
        <v>266370.38</v>
      </c>
      <c r="D68" s="494">
        <v>248797.93</v>
      </c>
      <c r="E68" s="494"/>
      <c r="F68" s="265">
        <v>248797.93</v>
      </c>
      <c r="G68" s="265">
        <v>71491.09</v>
      </c>
      <c r="H68" s="494">
        <v>71491.09</v>
      </c>
      <c r="I68" s="494"/>
      <c r="J68" s="265">
        <v>68845.240000000005</v>
      </c>
      <c r="K68" s="265">
        <v>68845.240000000005</v>
      </c>
      <c r="L68" s="494">
        <v>17572.45</v>
      </c>
      <c r="M68" s="494"/>
      <c r="N68" s="494">
        <v>177306.84</v>
      </c>
      <c r="O68" s="494"/>
      <c r="P68" s="265">
        <v>2645.85</v>
      </c>
    </row>
    <row r="69" spans="1:18" ht="14.25" customHeight="1" x14ac:dyDescent="0.3">
      <c r="A69" s="495" t="s">
        <v>619</v>
      </c>
      <c r="B69" s="495"/>
      <c r="C69" s="495"/>
      <c r="D69" s="495"/>
      <c r="E69" s="495"/>
      <c r="F69" s="495"/>
      <c r="G69" s="495"/>
      <c r="H69" s="495"/>
      <c r="I69" s="495"/>
      <c r="J69" s="495"/>
      <c r="K69" s="495"/>
      <c r="L69" s="495"/>
      <c r="M69" s="495"/>
      <c r="N69" s="495"/>
      <c r="O69" s="495"/>
      <c r="P69" s="495"/>
    </row>
    <row r="70" spans="1:18" ht="14.25" customHeight="1" x14ac:dyDescent="0.3">
      <c r="A70" s="496"/>
      <c r="B70" s="496"/>
      <c r="C70" s="266">
        <v>266370.38</v>
      </c>
      <c r="D70" s="497">
        <v>248797.93</v>
      </c>
      <c r="E70" s="497"/>
      <c r="F70" s="266">
        <v>248797.93</v>
      </c>
      <c r="G70" s="266">
        <v>71491.09</v>
      </c>
      <c r="H70" s="498">
        <v>71491.09</v>
      </c>
      <c r="I70" s="498"/>
      <c r="J70" s="266">
        <v>68845.240000000005</v>
      </c>
      <c r="K70" s="266">
        <v>68845.240000000005</v>
      </c>
      <c r="L70" s="497">
        <v>17572.45</v>
      </c>
      <c r="M70" s="497"/>
      <c r="N70" s="497">
        <v>177306.84</v>
      </c>
      <c r="O70" s="497"/>
      <c r="P70" s="266">
        <v>2645.85</v>
      </c>
    </row>
    <row r="71" spans="1:18" ht="14.25" customHeight="1" x14ac:dyDescent="0.3">
      <c r="A71" s="492" t="s">
        <v>620</v>
      </c>
      <c r="B71" s="492"/>
      <c r="C71" s="492"/>
      <c r="D71" s="492"/>
      <c r="E71" s="492"/>
      <c r="F71" s="492"/>
      <c r="G71" s="492"/>
      <c r="H71" s="492"/>
      <c r="I71" s="492"/>
      <c r="J71" s="492"/>
      <c r="K71" s="492"/>
      <c r="L71" s="492"/>
      <c r="M71" s="492"/>
      <c r="N71" s="492"/>
      <c r="O71" s="492"/>
      <c r="P71" s="492"/>
    </row>
    <row r="72" spans="1:18" ht="14.25" customHeight="1" x14ac:dyDescent="0.3">
      <c r="A72" s="493"/>
      <c r="B72" s="493"/>
      <c r="C72" s="265">
        <v>510450.98</v>
      </c>
      <c r="D72" s="494">
        <v>208972.92</v>
      </c>
      <c r="E72" s="494"/>
      <c r="F72" s="265">
        <v>208972.92</v>
      </c>
      <c r="G72" s="265">
        <v>48902.18</v>
      </c>
      <c r="H72" s="494">
        <v>48902.18</v>
      </c>
      <c r="I72" s="494"/>
      <c r="J72" s="265">
        <v>46074.35</v>
      </c>
      <c r="K72" s="265">
        <v>46074.35</v>
      </c>
      <c r="L72" s="494">
        <v>301478.06</v>
      </c>
      <c r="M72" s="494"/>
      <c r="N72" s="494">
        <v>160070.74</v>
      </c>
      <c r="O72" s="494"/>
      <c r="P72" s="265">
        <v>2827.83</v>
      </c>
    </row>
    <row r="73" spans="1:18" ht="14.25" customHeight="1" x14ac:dyDescent="0.3">
      <c r="A73" s="495" t="s">
        <v>621</v>
      </c>
      <c r="B73" s="495"/>
      <c r="C73" s="495"/>
      <c r="D73" s="495"/>
      <c r="E73" s="495"/>
      <c r="F73" s="495"/>
      <c r="G73" s="495"/>
      <c r="H73" s="495"/>
      <c r="I73" s="495"/>
      <c r="J73" s="495"/>
      <c r="K73" s="495"/>
      <c r="L73" s="495"/>
      <c r="M73" s="495"/>
      <c r="N73" s="495"/>
      <c r="O73" s="495"/>
      <c r="P73" s="495"/>
    </row>
    <row r="74" spans="1:18" ht="14.25" customHeight="1" x14ac:dyDescent="0.3">
      <c r="A74" s="496"/>
      <c r="B74" s="496"/>
      <c r="C74" s="266">
        <v>510450.98</v>
      </c>
      <c r="D74" s="497">
        <v>208972.92</v>
      </c>
      <c r="E74" s="497"/>
      <c r="F74" s="266">
        <v>208972.92</v>
      </c>
      <c r="G74" s="266">
        <v>48902.18</v>
      </c>
      <c r="H74" s="497">
        <v>48902.18</v>
      </c>
      <c r="I74" s="497"/>
      <c r="J74" s="266">
        <v>46074.35</v>
      </c>
      <c r="K74" s="266">
        <v>46074.35</v>
      </c>
      <c r="L74" s="497">
        <v>301478.06</v>
      </c>
      <c r="M74" s="497"/>
      <c r="N74" s="497">
        <v>160070.74</v>
      </c>
      <c r="O74" s="497"/>
      <c r="P74" s="266">
        <v>2827.83</v>
      </c>
    </row>
    <row r="75" spans="1:18" ht="13.5" customHeight="1" x14ac:dyDescent="0.3">
      <c r="A75" s="492" t="s">
        <v>622</v>
      </c>
      <c r="B75" s="492"/>
      <c r="C75" s="492"/>
      <c r="D75" s="492"/>
      <c r="E75" s="492"/>
      <c r="F75" s="492"/>
      <c r="G75" s="492"/>
      <c r="H75" s="492"/>
      <c r="I75" s="492"/>
      <c r="J75" s="492"/>
      <c r="K75" s="492"/>
      <c r="L75" s="492"/>
      <c r="M75" s="492"/>
      <c r="N75" s="492"/>
      <c r="O75" s="492"/>
      <c r="P75" s="492"/>
    </row>
    <row r="76" spans="1:18" ht="14.25" customHeight="1" x14ac:dyDescent="0.3">
      <c r="A76" s="493"/>
      <c r="B76" s="493"/>
      <c r="C76" s="265">
        <v>3603735.66</v>
      </c>
      <c r="D76" s="494">
        <v>2917255.54</v>
      </c>
      <c r="E76" s="494"/>
      <c r="F76" s="265">
        <v>2917255.54</v>
      </c>
      <c r="G76" s="265">
        <v>1049980.33</v>
      </c>
      <c r="H76" s="494">
        <v>1049980.33</v>
      </c>
      <c r="I76" s="494"/>
      <c r="J76" s="265">
        <v>995653.63</v>
      </c>
      <c r="K76" s="265">
        <v>995653.63</v>
      </c>
      <c r="L76" s="494">
        <v>686480.12</v>
      </c>
      <c r="M76" s="494"/>
      <c r="N76" s="494">
        <v>1867275.21</v>
      </c>
      <c r="O76" s="494"/>
      <c r="P76" s="265">
        <v>54326.7</v>
      </c>
    </row>
    <row r="77" spans="1:18" ht="14.25" customHeight="1" x14ac:dyDescent="0.3">
      <c r="A77" s="505" t="s">
        <v>623</v>
      </c>
      <c r="B77" s="505"/>
      <c r="C77" s="505"/>
      <c r="D77" s="505"/>
      <c r="E77" s="505"/>
      <c r="F77" s="505"/>
      <c r="G77" s="505"/>
      <c r="H77" s="505"/>
      <c r="I77" s="505"/>
      <c r="J77" s="505"/>
      <c r="K77" s="505"/>
      <c r="L77" s="505"/>
      <c r="M77" s="505"/>
      <c r="N77" s="505"/>
      <c r="O77" s="505"/>
      <c r="P77" s="505"/>
    </row>
    <row r="78" spans="1:18" ht="14.25" customHeight="1" x14ac:dyDescent="0.3">
      <c r="A78" s="496"/>
      <c r="B78" s="496"/>
      <c r="C78" s="266">
        <v>1015492.81</v>
      </c>
      <c r="D78" s="497">
        <v>666326.42000000004</v>
      </c>
      <c r="E78" s="497"/>
      <c r="F78" s="266">
        <v>666326.42000000004</v>
      </c>
      <c r="G78" s="266">
        <v>292332.38</v>
      </c>
      <c r="H78" s="497">
        <v>292332.38</v>
      </c>
      <c r="I78" s="497"/>
      <c r="J78" s="266">
        <v>282484.57</v>
      </c>
      <c r="K78" s="266">
        <v>282484.57</v>
      </c>
      <c r="L78" s="497">
        <v>349166.39</v>
      </c>
      <c r="M78" s="497"/>
      <c r="N78" s="497">
        <v>373994.04</v>
      </c>
      <c r="O78" s="497"/>
      <c r="P78" s="266">
        <v>9847.81</v>
      </c>
    </row>
    <row r="79" spans="1:18" ht="14.25" customHeight="1" x14ac:dyDescent="0.3">
      <c r="A79" s="500" t="s">
        <v>624</v>
      </c>
      <c r="B79" s="500"/>
      <c r="C79" s="500"/>
      <c r="D79" s="500"/>
      <c r="E79" s="500"/>
      <c r="F79" s="500"/>
      <c r="G79" s="500"/>
      <c r="H79" s="500"/>
      <c r="I79" s="500"/>
      <c r="J79" s="500"/>
      <c r="K79" s="500"/>
      <c r="L79" s="500"/>
      <c r="M79" s="500"/>
      <c r="N79" s="500"/>
      <c r="O79" s="500"/>
      <c r="P79" s="500"/>
    </row>
    <row r="80" spans="1:18" ht="14.25" customHeight="1" x14ac:dyDescent="0.3">
      <c r="A80" s="503"/>
      <c r="B80" s="503"/>
      <c r="C80" s="268">
        <v>875492.81</v>
      </c>
      <c r="D80" s="504">
        <v>639129.55000000005</v>
      </c>
      <c r="E80" s="504"/>
      <c r="F80" s="268">
        <v>639129.55000000005</v>
      </c>
      <c r="G80" s="268">
        <v>265135.51</v>
      </c>
      <c r="H80" s="504">
        <v>265135.51</v>
      </c>
      <c r="I80" s="504"/>
      <c r="J80" s="268">
        <v>255287.7</v>
      </c>
      <c r="K80" s="268">
        <v>255287.7</v>
      </c>
      <c r="L80" s="504">
        <v>236363.26</v>
      </c>
      <c r="M80" s="504"/>
      <c r="N80" s="504">
        <v>373994.04</v>
      </c>
      <c r="O80" s="504"/>
      <c r="P80" s="268">
        <v>9847.81</v>
      </c>
    </row>
    <row r="81" spans="1:16" ht="14.25" customHeight="1" x14ac:dyDescent="0.3">
      <c r="A81" s="501" t="s">
        <v>625</v>
      </c>
      <c r="B81" s="501"/>
      <c r="C81" s="501"/>
      <c r="D81" s="501"/>
      <c r="E81" s="501"/>
      <c r="F81" s="501"/>
      <c r="G81" s="501"/>
      <c r="H81" s="501"/>
      <c r="I81" s="501"/>
      <c r="J81" s="501"/>
      <c r="K81" s="501"/>
      <c r="L81" s="501"/>
      <c r="M81" s="501"/>
      <c r="N81" s="501"/>
      <c r="O81" s="501"/>
      <c r="P81" s="501"/>
    </row>
    <row r="82" spans="1:16" ht="14.25" customHeight="1" x14ac:dyDescent="0.3">
      <c r="A82" s="502"/>
      <c r="B82" s="502"/>
      <c r="C82" s="267">
        <v>90000</v>
      </c>
      <c r="D82" s="498">
        <v>0</v>
      </c>
      <c r="E82" s="498"/>
      <c r="F82" s="267">
        <v>0</v>
      </c>
      <c r="G82" s="267">
        <v>0</v>
      </c>
      <c r="H82" s="498">
        <v>0</v>
      </c>
      <c r="I82" s="498"/>
      <c r="J82" s="267">
        <v>0</v>
      </c>
      <c r="K82" s="267">
        <v>0</v>
      </c>
      <c r="L82" s="498">
        <v>90000</v>
      </c>
      <c r="M82" s="498"/>
      <c r="N82" s="498">
        <v>0</v>
      </c>
      <c r="O82" s="498"/>
      <c r="P82" s="267">
        <v>0</v>
      </c>
    </row>
    <row r="83" spans="1:16" ht="14.25" customHeight="1" x14ac:dyDescent="0.3">
      <c r="A83" s="500" t="s">
        <v>626</v>
      </c>
      <c r="B83" s="500"/>
      <c r="C83" s="500"/>
      <c r="D83" s="500"/>
      <c r="E83" s="500"/>
      <c r="F83" s="500"/>
      <c r="G83" s="500"/>
      <c r="H83" s="500"/>
      <c r="I83" s="500"/>
      <c r="J83" s="500"/>
      <c r="K83" s="500"/>
      <c r="L83" s="500"/>
      <c r="M83" s="500"/>
      <c r="N83" s="500"/>
      <c r="O83" s="500"/>
      <c r="P83" s="500"/>
    </row>
    <row r="84" spans="1:16" ht="14.25" customHeight="1" x14ac:dyDescent="0.3">
      <c r="A84" s="503"/>
      <c r="B84" s="503"/>
      <c r="C84" s="268">
        <v>50000</v>
      </c>
      <c r="D84" s="504">
        <v>27196.87</v>
      </c>
      <c r="E84" s="504"/>
      <c r="F84" s="268">
        <v>27196.87</v>
      </c>
      <c r="G84" s="268">
        <v>27196.87</v>
      </c>
      <c r="H84" s="504">
        <v>27196.87</v>
      </c>
      <c r="I84" s="504"/>
      <c r="J84" s="268">
        <v>27196.87</v>
      </c>
      <c r="K84" s="268">
        <v>27196.87</v>
      </c>
      <c r="L84" s="504">
        <v>22803.13</v>
      </c>
      <c r="M84" s="504"/>
      <c r="N84" s="504">
        <v>0</v>
      </c>
      <c r="O84" s="504"/>
      <c r="P84" s="268">
        <v>0</v>
      </c>
    </row>
    <row r="85" spans="1:16" ht="13.5" customHeight="1" x14ac:dyDescent="0.3">
      <c r="A85" s="501" t="s">
        <v>627</v>
      </c>
      <c r="B85" s="501"/>
      <c r="C85" s="501"/>
      <c r="D85" s="501"/>
      <c r="E85" s="501"/>
      <c r="F85" s="501"/>
      <c r="G85" s="501"/>
      <c r="H85" s="501"/>
      <c r="I85" s="501"/>
      <c r="J85" s="501"/>
      <c r="K85" s="501"/>
      <c r="L85" s="501"/>
      <c r="M85" s="501"/>
      <c r="N85" s="501"/>
      <c r="O85" s="501"/>
      <c r="P85" s="501"/>
    </row>
    <row r="86" spans="1:16" ht="14.25" customHeight="1" x14ac:dyDescent="0.3">
      <c r="A86" s="502"/>
      <c r="B86" s="502"/>
      <c r="C86" s="267">
        <v>448555.14</v>
      </c>
      <c r="D86" s="498">
        <v>374533.91</v>
      </c>
      <c r="E86" s="498"/>
      <c r="F86" s="267">
        <v>374533.91</v>
      </c>
      <c r="G86" s="267">
        <v>109279.78</v>
      </c>
      <c r="H86" s="498">
        <v>109279.78</v>
      </c>
      <c r="I86" s="498"/>
      <c r="J86" s="267">
        <v>100930.55</v>
      </c>
      <c r="K86" s="267">
        <v>100930.55</v>
      </c>
      <c r="L86" s="498">
        <v>74021.23</v>
      </c>
      <c r="M86" s="498"/>
      <c r="N86" s="498">
        <v>265254.13</v>
      </c>
      <c r="O86" s="498"/>
      <c r="P86" s="267">
        <v>8349.23</v>
      </c>
    </row>
    <row r="87" spans="1:16" ht="14.25" customHeight="1" x14ac:dyDescent="0.3">
      <c r="A87" s="500" t="s">
        <v>628</v>
      </c>
      <c r="B87" s="500"/>
      <c r="C87" s="500"/>
      <c r="D87" s="500"/>
      <c r="E87" s="500"/>
      <c r="F87" s="500"/>
      <c r="G87" s="500"/>
      <c r="H87" s="500"/>
      <c r="I87" s="500"/>
      <c r="J87" s="500"/>
      <c r="K87" s="500"/>
      <c r="L87" s="500"/>
      <c r="M87" s="500"/>
      <c r="N87" s="500"/>
      <c r="O87" s="500"/>
      <c r="P87" s="500"/>
    </row>
    <row r="88" spans="1:16" ht="14.25" customHeight="1" x14ac:dyDescent="0.3">
      <c r="A88" s="503"/>
      <c r="B88" s="503"/>
      <c r="C88" s="268">
        <v>448555.14</v>
      </c>
      <c r="D88" s="504">
        <v>374533.91</v>
      </c>
      <c r="E88" s="504"/>
      <c r="F88" s="268">
        <v>374533.91</v>
      </c>
      <c r="G88" s="268">
        <v>109279.78</v>
      </c>
      <c r="H88" s="504">
        <v>109279.78</v>
      </c>
      <c r="I88" s="504"/>
      <c r="J88" s="268">
        <v>100930.55</v>
      </c>
      <c r="K88" s="268">
        <v>100930.55</v>
      </c>
      <c r="L88" s="504">
        <v>74021.23</v>
      </c>
      <c r="M88" s="504"/>
      <c r="N88" s="504">
        <v>265254.13</v>
      </c>
      <c r="O88" s="504"/>
      <c r="P88" s="268">
        <v>8349.23</v>
      </c>
    </row>
    <row r="89" spans="1:16" ht="14.25" customHeight="1" x14ac:dyDescent="0.3">
      <c r="A89" s="501" t="s">
        <v>629</v>
      </c>
      <c r="B89" s="501"/>
      <c r="C89" s="501"/>
      <c r="D89" s="501"/>
      <c r="E89" s="501"/>
      <c r="F89" s="501"/>
      <c r="G89" s="501"/>
      <c r="H89" s="501"/>
      <c r="I89" s="501"/>
      <c r="J89" s="501"/>
      <c r="K89" s="501"/>
      <c r="L89" s="501"/>
      <c r="M89" s="501"/>
      <c r="N89" s="501"/>
      <c r="O89" s="501"/>
      <c r="P89" s="501"/>
    </row>
    <row r="90" spans="1:16" ht="14.25" customHeight="1" x14ac:dyDescent="0.3">
      <c r="A90" s="502"/>
      <c r="B90" s="502"/>
      <c r="C90" s="267">
        <v>898430.76</v>
      </c>
      <c r="D90" s="498">
        <v>797668.98</v>
      </c>
      <c r="E90" s="498"/>
      <c r="F90" s="267">
        <v>797668.98</v>
      </c>
      <c r="G90" s="267">
        <v>296935.45</v>
      </c>
      <c r="H90" s="498">
        <v>296935.45</v>
      </c>
      <c r="I90" s="498"/>
      <c r="J90" s="267">
        <v>286788.67</v>
      </c>
      <c r="K90" s="267">
        <v>286788.67</v>
      </c>
      <c r="L90" s="498">
        <v>100761.78</v>
      </c>
      <c r="M90" s="498"/>
      <c r="N90" s="498">
        <v>500733.53</v>
      </c>
      <c r="O90" s="498"/>
      <c r="P90" s="267">
        <v>10146.780000000001</v>
      </c>
    </row>
    <row r="91" spans="1:16" ht="14.25" customHeight="1" x14ac:dyDescent="0.3">
      <c r="A91" s="500" t="s">
        <v>630</v>
      </c>
      <c r="B91" s="500"/>
      <c r="C91" s="500"/>
      <c r="D91" s="500"/>
      <c r="E91" s="500"/>
      <c r="F91" s="500"/>
      <c r="G91" s="500"/>
      <c r="H91" s="500"/>
      <c r="I91" s="500"/>
      <c r="J91" s="500"/>
      <c r="K91" s="500"/>
      <c r="L91" s="500"/>
      <c r="M91" s="500"/>
      <c r="N91" s="500"/>
      <c r="O91" s="500"/>
      <c r="P91" s="500"/>
    </row>
    <row r="92" spans="1:16" ht="14.25" customHeight="1" x14ac:dyDescent="0.3">
      <c r="A92" s="503"/>
      <c r="B92" s="503"/>
      <c r="C92" s="268">
        <v>427503.1</v>
      </c>
      <c r="D92" s="504">
        <v>326741.32</v>
      </c>
      <c r="E92" s="504"/>
      <c r="F92" s="268">
        <v>326741.32</v>
      </c>
      <c r="G92" s="268">
        <v>100715.6</v>
      </c>
      <c r="H92" s="504">
        <v>100715.6</v>
      </c>
      <c r="I92" s="504"/>
      <c r="J92" s="268">
        <v>90568.82</v>
      </c>
      <c r="K92" s="268">
        <v>90568.82</v>
      </c>
      <c r="L92" s="504">
        <v>100761.78</v>
      </c>
      <c r="M92" s="504"/>
      <c r="N92" s="504">
        <v>226025.72</v>
      </c>
      <c r="O92" s="504"/>
      <c r="P92" s="268">
        <v>10146.780000000001</v>
      </c>
    </row>
    <row r="93" spans="1:16" ht="14.25" customHeight="1" x14ac:dyDescent="0.3">
      <c r="A93" s="501" t="s">
        <v>631</v>
      </c>
      <c r="B93" s="501"/>
      <c r="C93" s="501"/>
      <c r="D93" s="501"/>
      <c r="E93" s="501"/>
      <c r="F93" s="501"/>
      <c r="G93" s="501"/>
      <c r="H93" s="501"/>
      <c r="I93" s="501"/>
      <c r="J93" s="501"/>
      <c r="K93" s="501"/>
      <c r="L93" s="501"/>
      <c r="M93" s="501"/>
      <c r="N93" s="501"/>
      <c r="O93" s="501"/>
      <c r="P93" s="501"/>
    </row>
    <row r="94" spans="1:16" ht="14.25" customHeight="1" x14ac:dyDescent="0.3">
      <c r="A94" s="502"/>
      <c r="B94" s="502"/>
      <c r="C94" s="267">
        <v>63933.48</v>
      </c>
      <c r="D94" s="498">
        <v>63933.48</v>
      </c>
      <c r="E94" s="498"/>
      <c r="F94" s="267">
        <v>63933.48</v>
      </c>
      <c r="G94" s="267">
        <v>26638.95</v>
      </c>
      <c r="H94" s="498">
        <v>26638.95</v>
      </c>
      <c r="I94" s="498"/>
      <c r="J94" s="267">
        <v>26638.95</v>
      </c>
      <c r="K94" s="267">
        <v>26638.95</v>
      </c>
      <c r="L94" s="498">
        <v>0</v>
      </c>
      <c r="M94" s="498"/>
      <c r="N94" s="498">
        <v>37294.53</v>
      </c>
      <c r="O94" s="498"/>
      <c r="P94" s="267">
        <v>0</v>
      </c>
    </row>
    <row r="95" spans="1:16" ht="13.5" customHeight="1" x14ac:dyDescent="0.3">
      <c r="A95" s="500" t="s">
        <v>632</v>
      </c>
      <c r="B95" s="500"/>
      <c r="C95" s="500"/>
      <c r="D95" s="500"/>
      <c r="E95" s="500"/>
      <c r="F95" s="500"/>
      <c r="G95" s="500"/>
      <c r="H95" s="500"/>
      <c r="I95" s="500"/>
      <c r="J95" s="500"/>
      <c r="K95" s="500"/>
      <c r="L95" s="500"/>
      <c r="M95" s="500"/>
      <c r="N95" s="500"/>
      <c r="O95" s="500"/>
      <c r="P95" s="500"/>
    </row>
    <row r="96" spans="1:16" ht="14.25" customHeight="1" x14ac:dyDescent="0.3">
      <c r="A96" s="493"/>
      <c r="B96" s="493"/>
      <c r="C96" s="265">
        <v>358590.21</v>
      </c>
      <c r="D96" s="494">
        <v>358590.21</v>
      </c>
      <c r="E96" s="494"/>
      <c r="F96" s="265">
        <v>358590.21</v>
      </c>
      <c r="G96" s="265">
        <v>149412.62</v>
      </c>
      <c r="H96" s="494">
        <v>149412.62</v>
      </c>
      <c r="I96" s="494"/>
      <c r="J96" s="265">
        <v>149412.62</v>
      </c>
      <c r="K96" s="265">
        <v>149412.62</v>
      </c>
      <c r="L96" s="494">
        <v>0</v>
      </c>
      <c r="M96" s="494"/>
      <c r="N96" s="494">
        <v>209177.59</v>
      </c>
      <c r="O96" s="494"/>
      <c r="P96" s="265">
        <v>0</v>
      </c>
    </row>
    <row r="97" spans="1:18" ht="14.25" customHeight="1" x14ac:dyDescent="0.3">
      <c r="A97" s="495" t="s">
        <v>633</v>
      </c>
      <c r="B97" s="495"/>
      <c r="C97" s="495"/>
      <c r="D97" s="495"/>
      <c r="E97" s="495"/>
      <c r="F97" s="495"/>
      <c r="G97" s="495"/>
      <c r="H97" s="495"/>
      <c r="I97" s="495"/>
      <c r="J97" s="495"/>
      <c r="K97" s="495"/>
      <c r="L97" s="495"/>
      <c r="M97" s="495"/>
      <c r="N97" s="495"/>
      <c r="O97" s="495"/>
      <c r="P97" s="495"/>
    </row>
    <row r="98" spans="1:18" ht="14.25" customHeight="1" x14ac:dyDescent="0.3">
      <c r="A98" s="496"/>
      <c r="B98" s="496"/>
      <c r="C98" s="266">
        <v>48403.97</v>
      </c>
      <c r="D98" s="497">
        <v>48403.97</v>
      </c>
      <c r="E98" s="497"/>
      <c r="F98" s="266">
        <v>48403.97</v>
      </c>
      <c r="G98" s="266">
        <v>20168.28</v>
      </c>
      <c r="H98" s="497">
        <v>20168.28</v>
      </c>
      <c r="I98" s="497"/>
      <c r="J98" s="266">
        <v>20168.28</v>
      </c>
      <c r="K98" s="266">
        <v>20168.28</v>
      </c>
      <c r="L98" s="497">
        <v>0</v>
      </c>
      <c r="M98" s="497"/>
      <c r="N98" s="497">
        <v>28235.69</v>
      </c>
      <c r="O98" s="497"/>
      <c r="P98" s="266">
        <v>0</v>
      </c>
    </row>
    <row r="99" spans="1:18" ht="14.25" customHeight="1" x14ac:dyDescent="0.3">
      <c r="A99" s="492" t="s">
        <v>634</v>
      </c>
      <c r="B99" s="492"/>
      <c r="C99" s="492"/>
      <c r="D99" s="492"/>
      <c r="E99" s="492"/>
      <c r="F99" s="492"/>
      <c r="G99" s="492"/>
      <c r="H99" s="492"/>
      <c r="I99" s="492"/>
      <c r="J99" s="492"/>
      <c r="K99" s="492"/>
      <c r="L99" s="492"/>
      <c r="M99" s="492"/>
      <c r="N99" s="492"/>
      <c r="O99" s="492"/>
      <c r="P99" s="492"/>
    </row>
    <row r="100" spans="1:18" ht="14.25" customHeight="1" x14ac:dyDescent="0.3">
      <c r="A100" s="493"/>
      <c r="B100" s="493"/>
      <c r="C100" s="265">
        <v>237848.5</v>
      </c>
      <c r="D100" s="494">
        <v>234541.62</v>
      </c>
      <c r="E100" s="494"/>
      <c r="F100" s="265">
        <v>234541.62</v>
      </c>
      <c r="G100" s="265">
        <v>90057.38</v>
      </c>
      <c r="H100" s="494">
        <v>90057.38</v>
      </c>
      <c r="I100" s="494"/>
      <c r="J100" s="265">
        <v>86807.43</v>
      </c>
      <c r="K100" s="265">
        <v>86807.43</v>
      </c>
      <c r="L100" s="494">
        <v>3306.88</v>
      </c>
      <c r="M100" s="494"/>
      <c r="N100" s="494">
        <v>144484.24</v>
      </c>
      <c r="O100" s="494"/>
      <c r="P100" s="265">
        <v>3249.95</v>
      </c>
    </row>
    <row r="101" spans="1:18" ht="14.25" customHeight="1" x14ac:dyDescent="0.3">
      <c r="A101" s="499" t="s">
        <v>635</v>
      </c>
      <c r="B101" s="499"/>
      <c r="C101" s="499"/>
      <c r="D101" s="499"/>
      <c r="E101" s="499"/>
      <c r="F101" s="499"/>
      <c r="G101" s="499"/>
      <c r="H101" s="499"/>
      <c r="I101" s="499"/>
      <c r="J101" s="499"/>
      <c r="K101" s="499"/>
      <c r="L101" s="499"/>
      <c r="M101" s="499"/>
      <c r="N101" s="499"/>
      <c r="O101" s="499"/>
      <c r="P101" s="499"/>
      <c r="R101" s="293" t="s">
        <v>395</v>
      </c>
    </row>
    <row r="102" spans="1:18" ht="14.25" customHeight="1" x14ac:dyDescent="0.3">
      <c r="A102" s="496"/>
      <c r="B102" s="496"/>
      <c r="C102" s="266">
        <v>237848.5</v>
      </c>
      <c r="D102" s="497">
        <v>234541.62</v>
      </c>
      <c r="E102" s="497"/>
      <c r="F102" s="266">
        <v>234541.62</v>
      </c>
      <c r="G102" s="266">
        <v>90057.38</v>
      </c>
      <c r="H102" s="497">
        <v>90057.38</v>
      </c>
      <c r="I102" s="497"/>
      <c r="J102" s="266">
        <v>86807.43</v>
      </c>
      <c r="K102" s="266">
        <v>86807.43</v>
      </c>
      <c r="L102" s="497">
        <v>3306.88</v>
      </c>
      <c r="M102" s="497"/>
      <c r="N102" s="497">
        <v>144484.24</v>
      </c>
      <c r="O102" s="497"/>
      <c r="P102" s="266">
        <v>3249.95</v>
      </c>
    </row>
    <row r="103" spans="1:18" ht="14.25" customHeight="1" x14ac:dyDescent="0.3">
      <c r="A103" s="492" t="s">
        <v>636</v>
      </c>
      <c r="B103" s="492"/>
      <c r="C103" s="492"/>
      <c r="D103" s="492"/>
      <c r="E103" s="492"/>
      <c r="F103" s="492"/>
      <c r="G103" s="492"/>
      <c r="H103" s="492"/>
      <c r="I103" s="492"/>
      <c r="J103" s="492"/>
      <c r="K103" s="492"/>
      <c r="L103" s="492"/>
      <c r="M103" s="492"/>
      <c r="N103" s="492"/>
      <c r="O103" s="492"/>
      <c r="P103" s="492"/>
    </row>
    <row r="104" spans="1:18" ht="13.5" customHeight="1" x14ac:dyDescent="0.3">
      <c r="A104" s="493"/>
      <c r="B104" s="493"/>
      <c r="C104" s="265">
        <v>468486.44</v>
      </c>
      <c r="D104" s="494">
        <v>323487.74</v>
      </c>
      <c r="E104" s="494"/>
      <c r="F104" s="265">
        <v>323487.74</v>
      </c>
      <c r="G104" s="265">
        <v>100809.77</v>
      </c>
      <c r="H104" s="494">
        <v>100809.77</v>
      </c>
      <c r="I104" s="494"/>
      <c r="J104" s="265">
        <v>95931.99</v>
      </c>
      <c r="K104" s="265">
        <v>95931.99</v>
      </c>
      <c r="L104" s="494">
        <v>144998.70000000001</v>
      </c>
      <c r="M104" s="494"/>
      <c r="N104" s="494">
        <v>222677.97</v>
      </c>
      <c r="O104" s="494"/>
      <c r="P104" s="265">
        <v>4877.78</v>
      </c>
    </row>
    <row r="105" spans="1:18" ht="14.25" customHeight="1" x14ac:dyDescent="0.3">
      <c r="A105" s="495" t="s">
        <v>637</v>
      </c>
      <c r="B105" s="495"/>
      <c r="C105" s="495"/>
      <c r="D105" s="495"/>
      <c r="E105" s="495"/>
      <c r="F105" s="495"/>
      <c r="G105" s="495"/>
      <c r="H105" s="495"/>
      <c r="I105" s="495"/>
      <c r="J105" s="495"/>
      <c r="K105" s="495"/>
      <c r="L105" s="495"/>
      <c r="M105" s="495"/>
      <c r="N105" s="495"/>
      <c r="O105" s="495"/>
      <c r="P105" s="495"/>
    </row>
    <row r="106" spans="1:18" ht="14.25" customHeight="1" x14ac:dyDescent="0.3">
      <c r="A106" s="496"/>
      <c r="B106" s="496"/>
      <c r="C106" s="266">
        <v>468486.44</v>
      </c>
      <c r="D106" s="497">
        <v>323487.74</v>
      </c>
      <c r="E106" s="497"/>
      <c r="F106" s="266">
        <v>323487.74</v>
      </c>
      <c r="G106" s="266">
        <v>100809.77</v>
      </c>
      <c r="H106" s="497">
        <v>100809.77</v>
      </c>
      <c r="I106" s="497"/>
      <c r="J106" s="266">
        <v>95931.99</v>
      </c>
      <c r="K106" s="266">
        <v>95931.99</v>
      </c>
      <c r="L106" s="497">
        <v>144998.70000000001</v>
      </c>
      <c r="M106" s="497"/>
      <c r="N106" s="497">
        <v>222677.97</v>
      </c>
      <c r="O106" s="497"/>
      <c r="P106" s="266">
        <v>4877.78</v>
      </c>
    </row>
    <row r="107" spans="1:18" ht="14.25" customHeight="1" x14ac:dyDescent="0.3">
      <c r="A107" s="492" t="s">
        <v>638</v>
      </c>
      <c r="B107" s="492"/>
      <c r="C107" s="492"/>
      <c r="D107" s="492"/>
      <c r="E107" s="492"/>
      <c r="F107" s="492"/>
      <c r="G107" s="492"/>
      <c r="H107" s="492"/>
      <c r="I107" s="492"/>
      <c r="J107" s="492"/>
      <c r="K107" s="492"/>
      <c r="L107" s="492"/>
      <c r="M107" s="492"/>
      <c r="N107" s="492"/>
      <c r="O107" s="492"/>
      <c r="P107" s="492"/>
    </row>
    <row r="108" spans="1:18" ht="14.25" customHeight="1" x14ac:dyDescent="0.3">
      <c r="A108" s="493"/>
      <c r="B108" s="493"/>
      <c r="C108" s="265">
        <v>366797.12</v>
      </c>
      <c r="D108" s="494">
        <v>357464.45</v>
      </c>
      <c r="E108" s="494"/>
      <c r="F108" s="265">
        <v>357464.45</v>
      </c>
      <c r="G108" s="265">
        <v>135828.25</v>
      </c>
      <c r="H108" s="494">
        <v>135828.25</v>
      </c>
      <c r="I108" s="494"/>
      <c r="J108" s="265">
        <v>119038.89</v>
      </c>
      <c r="K108" s="265">
        <v>119038.89</v>
      </c>
      <c r="L108" s="494">
        <v>9332.67</v>
      </c>
      <c r="M108" s="494"/>
      <c r="N108" s="494">
        <v>221636.2</v>
      </c>
      <c r="O108" s="494"/>
      <c r="P108" s="265">
        <v>16789.36</v>
      </c>
    </row>
    <row r="109" spans="1:18" ht="14.25" customHeight="1" x14ac:dyDescent="0.3">
      <c r="A109" s="495" t="s">
        <v>639</v>
      </c>
      <c r="B109" s="495"/>
      <c r="C109" s="495"/>
      <c r="D109" s="495"/>
      <c r="E109" s="495"/>
      <c r="F109" s="495"/>
      <c r="G109" s="495"/>
      <c r="H109" s="495"/>
      <c r="I109" s="495"/>
      <c r="J109" s="495"/>
      <c r="K109" s="495"/>
      <c r="L109" s="495"/>
      <c r="M109" s="495"/>
      <c r="N109" s="495"/>
      <c r="O109" s="495"/>
      <c r="P109" s="495"/>
    </row>
    <row r="110" spans="1:18" ht="14.25" customHeight="1" x14ac:dyDescent="0.3">
      <c r="A110" s="496"/>
      <c r="B110" s="496"/>
      <c r="C110" s="266">
        <v>366797.12</v>
      </c>
      <c r="D110" s="497">
        <v>357464.45</v>
      </c>
      <c r="E110" s="497"/>
      <c r="F110" s="266">
        <v>357464.45</v>
      </c>
      <c r="G110" s="266">
        <v>135828.25</v>
      </c>
      <c r="H110" s="497">
        <v>135828.25</v>
      </c>
      <c r="I110" s="497"/>
      <c r="J110" s="266">
        <v>119038.89</v>
      </c>
      <c r="K110" s="266">
        <v>119038.89</v>
      </c>
      <c r="L110" s="497">
        <v>9332.67</v>
      </c>
      <c r="M110" s="497"/>
      <c r="N110" s="497">
        <v>221636.2</v>
      </c>
      <c r="O110" s="497"/>
      <c r="P110" s="266">
        <v>16789.36</v>
      </c>
    </row>
    <row r="111" spans="1:18" ht="14.25" customHeight="1" x14ac:dyDescent="0.3">
      <c r="A111" s="492" t="s">
        <v>640</v>
      </c>
      <c r="B111" s="492"/>
      <c r="C111" s="492"/>
      <c r="D111" s="492"/>
      <c r="E111" s="492"/>
      <c r="F111" s="492"/>
      <c r="G111" s="492"/>
      <c r="H111" s="492"/>
      <c r="I111" s="492"/>
      <c r="J111" s="492"/>
      <c r="K111" s="492"/>
      <c r="L111" s="492"/>
      <c r="M111" s="492"/>
      <c r="N111" s="492"/>
      <c r="O111" s="492"/>
      <c r="P111" s="492"/>
    </row>
    <row r="112" spans="1:18" ht="14.25" customHeight="1" x14ac:dyDescent="0.3">
      <c r="A112" s="493"/>
      <c r="B112" s="493"/>
      <c r="C112" s="265">
        <v>168124.89</v>
      </c>
      <c r="D112" s="494">
        <v>163232.42000000001</v>
      </c>
      <c r="E112" s="494"/>
      <c r="F112" s="265">
        <v>163232.42000000001</v>
      </c>
      <c r="G112" s="265">
        <v>24737.32</v>
      </c>
      <c r="H112" s="494">
        <v>24737.32</v>
      </c>
      <c r="I112" s="494"/>
      <c r="J112" s="265">
        <v>23671.53</v>
      </c>
      <c r="K112" s="265">
        <v>23671.53</v>
      </c>
      <c r="L112" s="494">
        <v>4892.47</v>
      </c>
      <c r="M112" s="494"/>
      <c r="N112" s="494">
        <v>138495.1</v>
      </c>
      <c r="O112" s="494"/>
      <c r="P112" s="265">
        <v>1065.79</v>
      </c>
    </row>
    <row r="113" spans="1:17" ht="14.25" customHeight="1" x14ac:dyDescent="0.3">
      <c r="A113" s="495" t="s">
        <v>641</v>
      </c>
      <c r="B113" s="495"/>
      <c r="C113" s="495"/>
      <c r="D113" s="495"/>
      <c r="E113" s="495"/>
      <c r="F113" s="495"/>
      <c r="G113" s="495"/>
      <c r="H113" s="495"/>
      <c r="I113" s="495"/>
      <c r="J113" s="495"/>
      <c r="K113" s="495"/>
      <c r="L113" s="495"/>
      <c r="M113" s="495"/>
      <c r="N113" s="495"/>
      <c r="O113" s="495"/>
      <c r="P113" s="495"/>
    </row>
    <row r="114" spans="1:17" ht="13.5" customHeight="1" x14ac:dyDescent="0.3">
      <c r="A114" s="496"/>
      <c r="B114" s="496"/>
      <c r="C114" s="266">
        <v>168124.89</v>
      </c>
      <c r="D114" s="497">
        <v>163232.42000000001</v>
      </c>
      <c r="E114" s="497"/>
      <c r="F114" s="266">
        <v>163232.42000000001</v>
      </c>
      <c r="G114" s="266">
        <v>24737.32</v>
      </c>
      <c r="H114" s="498">
        <v>24737.32</v>
      </c>
      <c r="I114" s="498"/>
      <c r="J114" s="266">
        <v>23671.53</v>
      </c>
      <c r="K114" s="266">
        <v>23671.53</v>
      </c>
      <c r="L114" s="497">
        <v>4892.47</v>
      </c>
      <c r="M114" s="497"/>
      <c r="N114" s="497">
        <v>138495.1</v>
      </c>
      <c r="O114" s="497"/>
      <c r="P114" s="266">
        <v>1065.79</v>
      </c>
    </row>
    <row r="115" spans="1:17" ht="14.25" customHeight="1" x14ac:dyDescent="0.3">
      <c r="A115" s="492" t="s">
        <v>0</v>
      </c>
      <c r="B115" s="492"/>
      <c r="C115" s="492"/>
      <c r="D115" s="492"/>
      <c r="E115" s="492"/>
      <c r="F115" s="492"/>
      <c r="G115" s="492"/>
      <c r="H115" s="492"/>
      <c r="I115" s="492"/>
      <c r="J115" s="492"/>
      <c r="K115" s="492"/>
      <c r="L115" s="492"/>
      <c r="M115" s="492"/>
      <c r="N115" s="492"/>
      <c r="O115" s="492"/>
      <c r="P115" s="492"/>
    </row>
    <row r="116" spans="1:17" ht="14.25" customHeight="1" x14ac:dyDescent="0.3">
      <c r="A116" s="493"/>
      <c r="B116" s="493"/>
      <c r="C116" s="265">
        <v>11313862.57</v>
      </c>
      <c r="D116" s="494">
        <v>3870757.99</v>
      </c>
      <c r="E116" s="494"/>
      <c r="F116" s="265">
        <v>3870757.99</v>
      </c>
      <c r="G116" s="265">
        <v>1370809.03</v>
      </c>
      <c r="H116" s="494">
        <v>1370809.03</v>
      </c>
      <c r="I116" s="494"/>
      <c r="J116" s="265">
        <v>1287105.1499999999</v>
      </c>
      <c r="K116" s="265">
        <v>1287105.1499999999</v>
      </c>
      <c r="L116" s="494">
        <v>7443104.5800000001</v>
      </c>
      <c r="M116" s="494"/>
      <c r="N116" s="494">
        <v>2499948.96</v>
      </c>
      <c r="O116" s="494"/>
      <c r="P116" s="265">
        <v>83703.88</v>
      </c>
    </row>
    <row r="117" spans="1:17" ht="18" customHeight="1" x14ac:dyDescent="0.3"/>
    <row r="118" spans="1:17" ht="11.25" customHeight="1" x14ac:dyDescent="0.3">
      <c r="B118" s="490"/>
      <c r="C118" s="490"/>
      <c r="D118" s="490"/>
      <c r="E118" s="490"/>
      <c r="F118" s="490"/>
      <c r="G118" s="490"/>
      <c r="H118" s="490"/>
    </row>
    <row r="119" spans="1:17" ht="50.25" customHeight="1" x14ac:dyDescent="0.3"/>
    <row r="120" spans="1:17" ht="12.75" customHeight="1" x14ac:dyDescent="0.3">
      <c r="A120" s="270" t="s">
        <v>642</v>
      </c>
      <c r="B120" s="270"/>
      <c r="C120" s="270"/>
      <c r="D120" s="270"/>
      <c r="E120" s="270"/>
      <c r="F120" s="270"/>
      <c r="G120" s="270"/>
      <c r="H120" s="270"/>
      <c r="I120" s="270"/>
      <c r="J120" s="270"/>
      <c r="K120" s="270"/>
      <c r="L120" s="270"/>
      <c r="M120" s="270"/>
      <c r="N120" s="270"/>
      <c r="O120" s="491" t="s">
        <v>643</v>
      </c>
      <c r="P120" s="491"/>
      <c r="Q120" s="491"/>
    </row>
  </sheetData>
  <mergeCells count="326">
    <mergeCell ref="A11:Q11"/>
    <mergeCell ref="A13:C13"/>
    <mergeCell ref="D13:F13"/>
    <mergeCell ref="G13:I13"/>
    <mergeCell ref="J13:K13"/>
    <mergeCell ref="L13:Q13"/>
    <mergeCell ref="A2:N2"/>
    <mergeCell ref="A3:N3"/>
    <mergeCell ref="A5:D6"/>
    <mergeCell ref="A8:Q8"/>
    <mergeCell ref="M9:Q9"/>
    <mergeCell ref="A10:Q10"/>
    <mergeCell ref="A15:P15"/>
    <mergeCell ref="A16:B16"/>
    <mergeCell ref="D16:E16"/>
    <mergeCell ref="H16:I16"/>
    <mergeCell ref="L16:M16"/>
    <mergeCell ref="N16:O16"/>
    <mergeCell ref="A14:B14"/>
    <mergeCell ref="D14:E14"/>
    <mergeCell ref="H14:I14"/>
    <mergeCell ref="L14:M14"/>
    <mergeCell ref="N14:O14"/>
    <mergeCell ref="P14:Q14"/>
    <mergeCell ref="A19:P19"/>
    <mergeCell ref="A20:B20"/>
    <mergeCell ref="D20:E20"/>
    <mergeCell ref="H20:I20"/>
    <mergeCell ref="L20:M20"/>
    <mergeCell ref="N20:O20"/>
    <mergeCell ref="A17:P17"/>
    <mergeCell ref="A18:B18"/>
    <mergeCell ref="D18:E18"/>
    <mergeCell ref="H18:I18"/>
    <mergeCell ref="L18:M18"/>
    <mergeCell ref="N18:O18"/>
    <mergeCell ref="A23:P23"/>
    <mergeCell ref="A24:B24"/>
    <mergeCell ref="D24:E24"/>
    <mergeCell ref="H24:I24"/>
    <mergeCell ref="L24:M24"/>
    <mergeCell ref="N24:O24"/>
    <mergeCell ref="A21:P21"/>
    <mergeCell ref="A22:B22"/>
    <mergeCell ref="D22:E22"/>
    <mergeCell ref="H22:I22"/>
    <mergeCell ref="L22:M22"/>
    <mergeCell ref="N22:O22"/>
    <mergeCell ref="A27:P27"/>
    <mergeCell ref="A28:B28"/>
    <mergeCell ref="D28:E28"/>
    <mergeCell ref="H28:I28"/>
    <mergeCell ref="L28:M28"/>
    <mergeCell ref="N28:O28"/>
    <mergeCell ref="A25:P25"/>
    <mergeCell ref="A26:B26"/>
    <mergeCell ref="D26:E26"/>
    <mergeCell ref="H26:I26"/>
    <mergeCell ref="L26:M26"/>
    <mergeCell ref="N26:O26"/>
    <mergeCell ref="A31:P31"/>
    <mergeCell ref="A32:B32"/>
    <mergeCell ref="D32:E32"/>
    <mergeCell ref="H32:I32"/>
    <mergeCell ref="L32:M32"/>
    <mergeCell ref="N32:O32"/>
    <mergeCell ref="A29:P29"/>
    <mergeCell ref="A30:B30"/>
    <mergeCell ref="D30:E30"/>
    <mergeCell ref="H30:I30"/>
    <mergeCell ref="L30:M30"/>
    <mergeCell ref="N30:O30"/>
    <mergeCell ref="A35:P35"/>
    <mergeCell ref="A36:B36"/>
    <mergeCell ref="D36:E36"/>
    <mergeCell ref="H36:I36"/>
    <mergeCell ref="L36:M36"/>
    <mergeCell ref="N36:O36"/>
    <mergeCell ref="A33:P33"/>
    <mergeCell ref="A34:B34"/>
    <mergeCell ref="D34:E34"/>
    <mergeCell ref="H34:I34"/>
    <mergeCell ref="L34:M34"/>
    <mergeCell ref="N34:O34"/>
    <mergeCell ref="A39:P39"/>
    <mergeCell ref="A40:B40"/>
    <mergeCell ref="D40:E40"/>
    <mergeCell ref="H40:I40"/>
    <mergeCell ref="L40:M40"/>
    <mergeCell ref="N40:O40"/>
    <mergeCell ref="A37:P37"/>
    <mergeCell ref="A38:B38"/>
    <mergeCell ref="D38:E38"/>
    <mergeCell ref="H38:I38"/>
    <mergeCell ref="L38:M38"/>
    <mergeCell ref="N38:O38"/>
    <mergeCell ref="A43:P43"/>
    <mergeCell ref="A44:B44"/>
    <mergeCell ref="D44:E44"/>
    <mergeCell ref="H44:I44"/>
    <mergeCell ref="L44:M44"/>
    <mergeCell ref="N44:O44"/>
    <mergeCell ref="A41:P41"/>
    <mergeCell ref="A42:B42"/>
    <mergeCell ref="D42:E42"/>
    <mergeCell ref="H42:I42"/>
    <mergeCell ref="L42:M42"/>
    <mergeCell ref="N42:O42"/>
    <mergeCell ref="A47:P47"/>
    <mergeCell ref="A48:B48"/>
    <mergeCell ref="D48:E48"/>
    <mergeCell ref="H48:I48"/>
    <mergeCell ref="L48:M48"/>
    <mergeCell ref="N48:O48"/>
    <mergeCell ref="A45:P45"/>
    <mergeCell ref="A46:B46"/>
    <mergeCell ref="D46:E46"/>
    <mergeCell ref="H46:I46"/>
    <mergeCell ref="L46:M46"/>
    <mergeCell ref="N46:O46"/>
    <mergeCell ref="A51:P51"/>
    <mergeCell ref="A52:B52"/>
    <mergeCell ref="D52:E52"/>
    <mergeCell ref="H52:I52"/>
    <mergeCell ref="L52:M52"/>
    <mergeCell ref="N52:O52"/>
    <mergeCell ref="A49:P49"/>
    <mergeCell ref="A50:B50"/>
    <mergeCell ref="D50:E50"/>
    <mergeCell ref="H50:I50"/>
    <mergeCell ref="L50:M50"/>
    <mergeCell ref="N50:O50"/>
    <mergeCell ref="A55:P55"/>
    <mergeCell ref="A56:B56"/>
    <mergeCell ref="D56:E56"/>
    <mergeCell ref="H56:I56"/>
    <mergeCell ref="L56:M56"/>
    <mergeCell ref="N56:O56"/>
    <mergeCell ref="A53:P53"/>
    <mergeCell ref="A54:B54"/>
    <mergeCell ref="D54:E54"/>
    <mergeCell ref="H54:I54"/>
    <mergeCell ref="L54:M54"/>
    <mergeCell ref="N54:O54"/>
    <mergeCell ref="A59:P59"/>
    <mergeCell ref="A60:B60"/>
    <mergeCell ref="D60:E60"/>
    <mergeCell ref="H60:I60"/>
    <mergeCell ref="L60:M60"/>
    <mergeCell ref="N60:O60"/>
    <mergeCell ref="A57:P57"/>
    <mergeCell ref="A58:B58"/>
    <mergeCell ref="D58:E58"/>
    <mergeCell ref="H58:I58"/>
    <mergeCell ref="L58:M58"/>
    <mergeCell ref="N58:O58"/>
    <mergeCell ref="A63:P63"/>
    <mergeCell ref="A64:B64"/>
    <mergeCell ref="D64:E64"/>
    <mergeCell ref="H64:I64"/>
    <mergeCell ref="L64:M64"/>
    <mergeCell ref="N64:O64"/>
    <mergeCell ref="A61:P61"/>
    <mergeCell ref="A62:B62"/>
    <mergeCell ref="D62:E62"/>
    <mergeCell ref="H62:I62"/>
    <mergeCell ref="L62:M62"/>
    <mergeCell ref="N62:O62"/>
    <mergeCell ref="A67:P67"/>
    <mergeCell ref="A68:B68"/>
    <mergeCell ref="D68:E68"/>
    <mergeCell ref="H68:I68"/>
    <mergeCell ref="L68:M68"/>
    <mergeCell ref="N68:O68"/>
    <mergeCell ref="A65:P65"/>
    <mergeCell ref="A66:B66"/>
    <mergeCell ref="D66:E66"/>
    <mergeCell ref="H66:I66"/>
    <mergeCell ref="L66:M66"/>
    <mergeCell ref="N66:O66"/>
    <mergeCell ref="A71:P71"/>
    <mergeCell ref="A72:B72"/>
    <mergeCell ref="D72:E72"/>
    <mergeCell ref="H72:I72"/>
    <mergeCell ref="L72:M72"/>
    <mergeCell ref="N72:O72"/>
    <mergeCell ref="A69:P69"/>
    <mergeCell ref="A70:B70"/>
    <mergeCell ref="D70:E70"/>
    <mergeCell ref="H70:I70"/>
    <mergeCell ref="L70:M70"/>
    <mergeCell ref="N70:O70"/>
    <mergeCell ref="A75:P75"/>
    <mergeCell ref="A76:B76"/>
    <mergeCell ref="D76:E76"/>
    <mergeCell ref="H76:I76"/>
    <mergeCell ref="L76:M76"/>
    <mergeCell ref="N76:O76"/>
    <mergeCell ref="A73:P73"/>
    <mergeCell ref="A74:B74"/>
    <mergeCell ref="D74:E74"/>
    <mergeCell ref="H74:I74"/>
    <mergeCell ref="L74:M74"/>
    <mergeCell ref="N74:O74"/>
    <mergeCell ref="A79:P79"/>
    <mergeCell ref="A80:B80"/>
    <mergeCell ref="D80:E80"/>
    <mergeCell ref="H80:I80"/>
    <mergeCell ref="L80:M80"/>
    <mergeCell ref="N80:O80"/>
    <mergeCell ref="A77:P77"/>
    <mergeCell ref="A78:B78"/>
    <mergeCell ref="D78:E78"/>
    <mergeCell ref="H78:I78"/>
    <mergeCell ref="L78:M78"/>
    <mergeCell ref="N78:O78"/>
    <mergeCell ref="A83:P83"/>
    <mergeCell ref="A84:B84"/>
    <mergeCell ref="D84:E84"/>
    <mergeCell ref="H84:I84"/>
    <mergeCell ref="L84:M84"/>
    <mergeCell ref="N84:O84"/>
    <mergeCell ref="A81:P81"/>
    <mergeCell ref="A82:B82"/>
    <mergeCell ref="D82:E82"/>
    <mergeCell ref="H82:I82"/>
    <mergeCell ref="L82:M82"/>
    <mergeCell ref="N82:O82"/>
    <mergeCell ref="A87:P87"/>
    <mergeCell ref="A88:B88"/>
    <mergeCell ref="D88:E88"/>
    <mergeCell ref="H88:I88"/>
    <mergeCell ref="L88:M88"/>
    <mergeCell ref="N88:O88"/>
    <mergeCell ref="A85:P85"/>
    <mergeCell ref="A86:B86"/>
    <mergeCell ref="D86:E86"/>
    <mergeCell ref="H86:I86"/>
    <mergeCell ref="L86:M86"/>
    <mergeCell ref="N86:O86"/>
    <mergeCell ref="A91:P91"/>
    <mergeCell ref="A92:B92"/>
    <mergeCell ref="D92:E92"/>
    <mergeCell ref="H92:I92"/>
    <mergeCell ref="L92:M92"/>
    <mergeCell ref="N92:O92"/>
    <mergeCell ref="A89:P89"/>
    <mergeCell ref="A90:B90"/>
    <mergeCell ref="D90:E90"/>
    <mergeCell ref="H90:I90"/>
    <mergeCell ref="L90:M90"/>
    <mergeCell ref="N90:O90"/>
    <mergeCell ref="A95:P95"/>
    <mergeCell ref="A96:B96"/>
    <mergeCell ref="D96:E96"/>
    <mergeCell ref="H96:I96"/>
    <mergeCell ref="L96:M96"/>
    <mergeCell ref="N96:O96"/>
    <mergeCell ref="A93:P93"/>
    <mergeCell ref="A94:B94"/>
    <mergeCell ref="D94:E94"/>
    <mergeCell ref="H94:I94"/>
    <mergeCell ref="L94:M94"/>
    <mergeCell ref="N94:O94"/>
    <mergeCell ref="A99:P99"/>
    <mergeCell ref="A100:B100"/>
    <mergeCell ref="D100:E100"/>
    <mergeCell ref="H100:I100"/>
    <mergeCell ref="L100:M100"/>
    <mergeCell ref="N100:O100"/>
    <mergeCell ref="A97:P97"/>
    <mergeCell ref="A98:B98"/>
    <mergeCell ref="D98:E98"/>
    <mergeCell ref="H98:I98"/>
    <mergeCell ref="L98:M98"/>
    <mergeCell ref="N98:O98"/>
    <mergeCell ref="A103:P103"/>
    <mergeCell ref="A104:B104"/>
    <mergeCell ref="D104:E104"/>
    <mergeCell ref="H104:I104"/>
    <mergeCell ref="L104:M104"/>
    <mergeCell ref="N104:O104"/>
    <mergeCell ref="A101:P101"/>
    <mergeCell ref="A102:B102"/>
    <mergeCell ref="D102:E102"/>
    <mergeCell ref="H102:I102"/>
    <mergeCell ref="L102:M102"/>
    <mergeCell ref="N102:O102"/>
    <mergeCell ref="A107:P107"/>
    <mergeCell ref="A108:B108"/>
    <mergeCell ref="D108:E108"/>
    <mergeCell ref="H108:I108"/>
    <mergeCell ref="L108:M108"/>
    <mergeCell ref="N108:O108"/>
    <mergeCell ref="A105:P105"/>
    <mergeCell ref="A106:B106"/>
    <mergeCell ref="D106:E106"/>
    <mergeCell ref="H106:I106"/>
    <mergeCell ref="L106:M106"/>
    <mergeCell ref="N106:O106"/>
    <mergeCell ref="A111:P111"/>
    <mergeCell ref="A112:B112"/>
    <mergeCell ref="D112:E112"/>
    <mergeCell ref="H112:I112"/>
    <mergeCell ref="L112:M112"/>
    <mergeCell ref="N112:O112"/>
    <mergeCell ref="A109:P109"/>
    <mergeCell ref="A110:B110"/>
    <mergeCell ref="D110:E110"/>
    <mergeCell ref="H110:I110"/>
    <mergeCell ref="L110:M110"/>
    <mergeCell ref="N110:O110"/>
    <mergeCell ref="B118:H118"/>
    <mergeCell ref="O120:Q120"/>
    <mergeCell ref="A115:P115"/>
    <mergeCell ref="A116:B116"/>
    <mergeCell ref="D116:E116"/>
    <mergeCell ref="H116:I116"/>
    <mergeCell ref="L116:M116"/>
    <mergeCell ref="N116:O116"/>
    <mergeCell ref="A113:P113"/>
    <mergeCell ref="A114:B114"/>
    <mergeCell ref="D114:E114"/>
    <mergeCell ref="H114:I114"/>
    <mergeCell ref="L114:M114"/>
    <mergeCell ref="N114:O114"/>
  </mergeCells>
  <pageMargins left="0.19666667282581299" right="0.19666667282581299" top="0.20000000298023199" bottom="0.20000000298023199" header="0.3" footer="0.3"/>
  <pageSetup paperSize="9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7030A0"/>
  </sheetPr>
  <dimension ref="A1:AX36"/>
  <sheetViews>
    <sheetView showGridLines="0" zoomScale="70" zoomScaleNormal="70" workbookViewId="0">
      <pane xSplit="1" ySplit="3" topLeftCell="B4" activePane="bottomRight" state="frozen"/>
      <selection activeCell="AN6" sqref="AN6"/>
      <selection pane="topRight" activeCell="AN6" sqref="AN6"/>
      <selection pane="bottomLeft" activeCell="AN6" sqref="AN6"/>
      <selection pane="bottomRight" activeCell="AN9" sqref="AN9"/>
    </sheetView>
  </sheetViews>
  <sheetFormatPr defaultColWidth="9.109375" defaultRowHeight="0" customHeight="1" zeroHeight="1" outlineLevelCol="1" x14ac:dyDescent="0.3"/>
  <cols>
    <col min="1" max="1" width="12.109375" style="245" hidden="1" customWidth="1" outlineLevel="1"/>
    <col min="2" max="4" width="15" style="246" hidden="1" customWidth="1" outlineLevel="1"/>
    <col min="5" max="6" width="13.88671875" style="246" hidden="1" customWidth="1" outlineLevel="1"/>
    <col min="7" max="7" width="14.88671875" style="246" hidden="1" customWidth="1" outlineLevel="1"/>
    <col min="8" max="8" width="15" style="246" hidden="1" customWidth="1" outlineLevel="1"/>
    <col min="9" max="9" width="13.88671875" style="246" hidden="1" customWidth="1" outlineLevel="1"/>
    <col min="10" max="10" width="16.109375" style="189" hidden="1" customWidth="1" outlineLevel="1"/>
    <col min="11" max="11" width="5.33203125" style="188" hidden="1" customWidth="1" outlineLevel="1"/>
    <col min="12" max="12" width="15.109375" style="189" hidden="1" customWidth="1" outlineLevel="1"/>
    <col min="13" max="13" width="19.109375" style="189" hidden="1" customWidth="1" outlineLevel="1"/>
    <col min="14" max="14" width="15.109375" style="189" hidden="1" customWidth="1" outlineLevel="1"/>
    <col min="15" max="15" width="4.5546875" style="189" hidden="1" customWidth="1" outlineLevel="1"/>
    <col min="16" max="17" width="14" style="189" hidden="1" customWidth="1" outlineLevel="1"/>
    <col min="18" max="18" width="12.109375" style="190" hidden="1" customWidth="1" outlineLevel="1"/>
    <col min="19" max="19" width="5.33203125" style="189" hidden="1" customWidth="1" outlineLevel="1"/>
    <col min="20" max="20" width="4.5546875" style="190" hidden="1" customWidth="1" outlineLevel="1"/>
    <col min="21" max="21" width="16.33203125" style="189" hidden="1" customWidth="1" outlineLevel="1"/>
    <col min="22" max="22" width="4.5546875" style="190" hidden="1" customWidth="1" outlineLevel="1"/>
    <col min="23" max="23" width="14" style="191" hidden="1" customWidth="1" outlineLevel="1"/>
    <col min="24" max="24" width="18.44140625" style="191" hidden="1" customWidth="1" outlineLevel="1"/>
    <col min="25" max="25" width="14.109375" style="249" hidden="1" customWidth="1" outlineLevel="1"/>
    <col min="26" max="26" width="14" style="191" hidden="1" customWidth="1" outlineLevel="1"/>
    <col min="27" max="27" width="14.109375" style="249" hidden="1" customWidth="1" outlineLevel="1"/>
    <col min="28" max="28" width="14" style="191" hidden="1" customWidth="1" outlineLevel="1"/>
    <col min="29" max="29" width="4.5546875" hidden="1" customWidth="1" outlineLevel="1"/>
    <col min="30" max="30" width="18.6640625" hidden="1" customWidth="1" outlineLevel="1"/>
    <col min="31" max="31" width="4.5546875" hidden="1" customWidth="1" outlineLevel="1"/>
    <col min="32" max="32" width="16.6640625" hidden="1" customWidth="1" outlineLevel="1"/>
    <col min="33" max="33" width="4.5546875" hidden="1" customWidth="1" outlineLevel="1"/>
    <col min="34" max="34" width="24.109375" style="191" hidden="1" customWidth="1" outlineLevel="1"/>
    <col min="35" max="35" width="9.88671875" customWidth="1" outlineLevel="1"/>
    <col min="36" max="36" width="39.109375" style="21" bestFit="1" customWidth="1"/>
    <col min="37" max="37" width="15" style="21" bestFit="1" customWidth="1"/>
    <col min="38" max="38" width="1" customWidth="1"/>
    <col min="39" max="39" width="39" style="21" bestFit="1" customWidth="1"/>
    <col min="40" max="40" width="18.33203125" customWidth="1"/>
    <col min="42" max="42" width="14" bestFit="1" customWidth="1"/>
    <col min="43" max="50" width="12.44140625" bestFit="1" customWidth="1"/>
  </cols>
  <sheetData>
    <row r="1" spans="1:50" ht="16.5" customHeight="1" thickBot="1" x14ac:dyDescent="0.35">
      <c r="A1" s="521" t="s">
        <v>506</v>
      </c>
      <c r="B1" s="522">
        <v>0.8</v>
      </c>
      <c r="C1" s="522"/>
      <c r="D1" s="522"/>
      <c r="E1" s="522"/>
      <c r="F1" s="522"/>
      <c r="G1" s="522"/>
      <c r="H1" s="522"/>
      <c r="I1" s="522"/>
      <c r="J1" s="522"/>
      <c r="L1" s="523" t="s">
        <v>507</v>
      </c>
      <c r="M1" s="524"/>
      <c r="N1" s="525"/>
      <c r="P1" s="524" t="s">
        <v>508</v>
      </c>
      <c r="Q1" s="524"/>
      <c r="S1" s="524"/>
      <c r="U1" s="524" t="s">
        <v>509</v>
      </c>
      <c r="W1" s="522" t="s">
        <v>510</v>
      </c>
      <c r="X1" s="522"/>
      <c r="Y1" s="522"/>
      <c r="Z1" s="522"/>
      <c r="AA1" s="522"/>
      <c r="AB1" s="522"/>
    </row>
    <row r="2" spans="1:50" s="196" customFormat="1" ht="16.2" thickBot="1" x14ac:dyDescent="0.35">
      <c r="A2" s="521"/>
      <c r="B2" s="531" t="s">
        <v>511</v>
      </c>
      <c r="C2" s="531"/>
      <c r="D2" s="531"/>
      <c r="E2" s="531" t="s">
        <v>512</v>
      </c>
      <c r="F2" s="531"/>
      <c r="G2" s="531"/>
      <c r="H2" s="532" t="s">
        <v>513</v>
      </c>
      <c r="I2" s="532" t="s">
        <v>514</v>
      </c>
      <c r="J2" s="534" t="s">
        <v>515</v>
      </c>
      <c r="K2" s="192"/>
      <c r="L2" s="526"/>
      <c r="M2" s="527"/>
      <c r="N2" s="528"/>
      <c r="O2" s="193"/>
      <c r="P2" s="527"/>
      <c r="Q2" s="527"/>
      <c r="R2" s="194"/>
      <c r="S2" s="527"/>
      <c r="T2" s="194"/>
      <c r="U2" s="527"/>
      <c r="V2" s="194"/>
      <c r="W2" s="531" t="s">
        <v>511</v>
      </c>
      <c r="X2" s="531"/>
      <c r="Y2" s="531"/>
      <c r="Z2" s="531" t="s">
        <v>512</v>
      </c>
      <c r="AA2" s="531"/>
      <c r="AB2" s="195" t="s">
        <v>513</v>
      </c>
      <c r="AD2" s="535" t="s">
        <v>516</v>
      </c>
      <c r="AF2" s="535" t="s">
        <v>517</v>
      </c>
      <c r="AH2" s="537" t="s">
        <v>518</v>
      </c>
      <c r="AJ2" s="197" t="s">
        <v>519</v>
      </c>
      <c r="AK2" s="198" t="s">
        <v>550</v>
      </c>
      <c r="AM2" s="529" t="s">
        <v>521</v>
      </c>
      <c r="AN2" s="530"/>
    </row>
    <row r="3" spans="1:50" s="210" customFormat="1" ht="38.25" customHeight="1" thickBot="1" x14ac:dyDescent="0.35">
      <c r="A3" s="521"/>
      <c r="B3" s="199" t="s">
        <v>522</v>
      </c>
      <c r="C3" s="199" t="s">
        <v>523</v>
      </c>
      <c r="D3" s="199" t="s">
        <v>524</v>
      </c>
      <c r="E3" s="199" t="s">
        <v>522</v>
      </c>
      <c r="F3" s="199" t="s">
        <v>523</v>
      </c>
      <c r="G3" s="199" t="s">
        <v>524</v>
      </c>
      <c r="H3" s="533"/>
      <c r="I3" s="533"/>
      <c r="J3" s="533"/>
      <c r="K3" s="200"/>
      <c r="L3" s="199" t="s">
        <v>525</v>
      </c>
      <c r="M3" s="201" t="s">
        <v>526</v>
      </c>
      <c r="N3" s="199" t="s">
        <v>527</v>
      </c>
      <c r="O3" s="202"/>
      <c r="P3" s="203" t="s">
        <v>528</v>
      </c>
      <c r="Q3" s="203" t="s">
        <v>529</v>
      </c>
      <c r="R3" s="204"/>
      <c r="S3" s="205"/>
      <c r="T3" s="204"/>
      <c r="U3" s="205" t="s">
        <v>530</v>
      </c>
      <c r="V3" s="204"/>
      <c r="W3" s="206" t="s">
        <v>531</v>
      </c>
      <c r="X3" s="206" t="s">
        <v>532</v>
      </c>
      <c r="Y3" s="207" t="s">
        <v>533</v>
      </c>
      <c r="Z3" s="208" t="s">
        <v>534</v>
      </c>
      <c r="AA3" s="207" t="s">
        <v>533</v>
      </c>
      <c r="AB3" s="209" t="s">
        <v>534</v>
      </c>
      <c r="AD3" s="536"/>
      <c r="AF3" s="536"/>
      <c r="AH3" s="537"/>
      <c r="AJ3" s="211" t="s">
        <v>9</v>
      </c>
      <c r="AK3" s="212">
        <f>AK4+AK14+AK15+AK16</f>
        <v>5098022.37</v>
      </c>
      <c r="AM3" s="211" t="s">
        <v>535</v>
      </c>
      <c r="AN3" s="213">
        <f>VLOOKUP($AK$2,'Diretrizes - Resumo'!$A$4:$Q$30,16,)</f>
        <v>334853.81</v>
      </c>
    </row>
    <row r="4" spans="1:50" ht="16.2" thickBot="1" x14ac:dyDescent="0.35">
      <c r="A4" s="214" t="s">
        <v>520</v>
      </c>
      <c r="B4" s="215">
        <f>VLOOKUP($A$4:$A$30,'[10]ANEXO III Anexo IX (100 e 80%)'!$AV$6:$CJ$36,7,)</f>
        <v>182090.4</v>
      </c>
      <c r="C4" s="215">
        <f>VLOOKUP($A$4:$A$30,'[10]ANEXO III Anexo IX (100 e 80%)'!$AV$6:$CJ$36,8,)</f>
        <v>52445.68</v>
      </c>
      <c r="D4" s="215">
        <f>B4+C4</f>
        <v>234536.08</v>
      </c>
      <c r="E4" s="215">
        <f>VLOOKUP($A$4:$A$30,'[10]ANEXO III Anexo IX (100 e 80%)'!$AV$6:$CJ$36,17,)</f>
        <v>20240.07</v>
      </c>
      <c r="F4" s="215">
        <f>VLOOKUP($A$4:$A$30,'[10]ANEXO III Anexo IX (100 e 80%)'!$AV$6:$CJ$36,18,)</f>
        <v>15616.720000000001</v>
      </c>
      <c r="G4" s="215">
        <f>E4+F4</f>
        <v>35856.79</v>
      </c>
      <c r="H4" s="215">
        <f>VLOOKUP($A$4:$A$30,'[10]ANEXO III Anexo IX (100 e 80%)'!$AV$6:$CJ$36,25,)</f>
        <v>275510.56</v>
      </c>
      <c r="I4" s="215">
        <f>VLOOKUP($A$4:$A$30,'[10]ANEXO III Anexo IX (100 e 80%)'!$AV$6:$CJ$36,31,)</f>
        <v>35488.839999999997</v>
      </c>
      <c r="J4" s="216">
        <f>D4+G4+H4+I4</f>
        <v>581392.2699999999</v>
      </c>
      <c r="K4" s="217">
        <f>J4-VLOOKUP(A4:A30,'[10]ANEXO III Anexo IX (100 e 80%)'!$AV$6:$CL$36,43,)</f>
        <v>0</v>
      </c>
      <c r="L4" s="215">
        <f>VLOOKUP($A$4:$A$30,'[10]Anexo IX.I-Aporte do FA'!$A$4:$C$30,3,)</f>
        <v>3270.6278321674999</v>
      </c>
      <c r="M4" s="215">
        <f>IFERROR(VLOOKUP($A$4:$A$30,'[11]Anexo VI-Repasse Fundo de Apoio'!$A$4:$G$13,7,),)</f>
        <v>23240</v>
      </c>
      <c r="N4" s="215">
        <f>IFERROR(VLOOKUP($A$4:$A$30,'[10]Anexo IX-Repasse Fundo de Apoio'!$A$4:$C$23,3,),)</f>
        <v>801842.1399999999</v>
      </c>
      <c r="O4" s="218"/>
      <c r="P4" s="215">
        <f>VLOOKUP($A$4:$A$30,'[10]ANEXO X.CSC Total'!$A$3:$E$33,5,)</f>
        <v>37248.14</v>
      </c>
      <c r="Q4" s="215">
        <f>VLOOKUP($A$4:$A$30,'[10]ANEXO X.CSC Total'!$A$3:$C$35,3,)+VLOOKUP($A$4:$A$30,'[10]ANEXO X.CSC Total'!$A$3:$E$33,4,)</f>
        <v>5397.3016158161217</v>
      </c>
      <c r="R4" s="219">
        <f>VLOOKUP($A$4:$A$30,'[12]Anexo VII- CSC - SERV.'!$A$4:$F$38,6,)-(P4+Q4)</f>
        <v>1081.7744416163332</v>
      </c>
      <c r="S4" s="215"/>
      <c r="T4" s="220"/>
      <c r="U4" s="215">
        <f>VLOOKUP($A$4:$A$30,'[10]XI. Tarifas Bancárias'!$A$3:$D$33,4,)</f>
        <v>2912.08</v>
      </c>
      <c r="V4" s="220"/>
      <c r="W4" s="221">
        <f>VLOOKUP($A$4:$A$30,'[10]ANEXO I'!$A$5:$X$37,3,)</f>
        <v>768</v>
      </c>
      <c r="X4" s="221">
        <f>VLOOKUP($A$4:$A$30,'[10]ANEXO I'!$A$5:$X$37,6,)</f>
        <v>757</v>
      </c>
      <c r="Y4" s="222">
        <f>VLOOKUP($A$4:$A$30,'[10]ANEXO I'!$A$5:$X$37,12,)</f>
        <v>35.535006605019817</v>
      </c>
      <c r="Z4" s="221">
        <f>VLOOKUP($A$4:$A$30,'[10]ANEXO I'!$A$5:$X$37,15,)</f>
        <v>189</v>
      </c>
      <c r="AA4" s="222">
        <f>VLOOKUP($A$4:$A$30,'[10]ANEXO I'!$A$5:$X$37,21,)</f>
        <v>59.788359788359791</v>
      </c>
      <c r="AB4" s="221">
        <f>VLOOKUP($A$4:$A$30,'[10]ANEXO I'!$A$5:$X$37,24,)</f>
        <v>2990</v>
      </c>
      <c r="AC4" s="223"/>
      <c r="AD4" s="220">
        <f>VLOOKUP($A$4:$A$30,'[10]ANEXO X.II.Encontro de Contas'!$A$2:$D$32,4,)</f>
        <v>128.74</v>
      </c>
      <c r="AE4" s="223"/>
      <c r="AF4" s="220">
        <f>VLOOKUP($A$4:$A$30,'[13]Demonstrativos 2022'!$A$6:$Y$32,25,)</f>
        <v>763867.72000000009</v>
      </c>
      <c r="AG4" s="224"/>
      <c r="AH4" s="225">
        <v>830026</v>
      </c>
      <c r="AJ4" s="226" t="s">
        <v>93</v>
      </c>
      <c r="AK4" s="227">
        <f>AK5+AK12+AK13</f>
        <v>5082488.16</v>
      </c>
      <c r="AM4" s="226" t="s">
        <v>536</v>
      </c>
      <c r="AN4" s="213">
        <f>VLOOKUP($AK$2,'Diretrizes - Resumo'!$A$4:$Q$30,17,)</f>
        <v>48792.739578978741</v>
      </c>
      <c r="AP4" s="228"/>
      <c r="AQ4" s="229"/>
      <c r="AR4" s="229"/>
      <c r="AS4" s="229"/>
      <c r="AT4" s="229"/>
      <c r="AU4" s="229"/>
      <c r="AV4" s="229"/>
      <c r="AW4" s="229"/>
      <c r="AX4" s="229"/>
    </row>
    <row r="5" spans="1:50" ht="16.2" thickBot="1" x14ac:dyDescent="0.35">
      <c r="A5" s="214" t="s">
        <v>537</v>
      </c>
      <c r="B5" s="215">
        <f>VLOOKUP($A$4:$A$30,'[10]ANEXO III Anexo IX (100 e 80%)'!$AV$6:$CJ$36,7,)</f>
        <v>607541.49</v>
      </c>
      <c r="C5" s="215">
        <f>VLOOKUP($A$4:$A$30,'[10]ANEXO III Anexo IX (100 e 80%)'!$AV$6:$CJ$36,8,)</f>
        <v>202498.47</v>
      </c>
      <c r="D5" s="215">
        <f t="shared" ref="D5:D30" si="0">B5+C5</f>
        <v>810039.96</v>
      </c>
      <c r="E5" s="215">
        <f>VLOOKUP($A$4:$A$30,'[10]ANEXO III Anexo IX (100 e 80%)'!$AV$6:$CJ$36,17,)</f>
        <v>27108.48</v>
      </c>
      <c r="F5" s="215">
        <f>VLOOKUP($A$4:$A$30,'[10]ANEXO III Anexo IX (100 e 80%)'!$AV$6:$CJ$36,18,)</f>
        <v>30503.82</v>
      </c>
      <c r="G5" s="215">
        <f t="shared" ref="G5:G30" si="1">E5+F5</f>
        <v>57612.3</v>
      </c>
      <c r="H5" s="215">
        <f>VLOOKUP($A$4:$A$30,'[10]ANEXO III Anexo IX (100 e 80%)'!$AV$6:$CJ$36,25,)</f>
        <v>736046.27</v>
      </c>
      <c r="I5" s="215">
        <f>VLOOKUP($A$4:$A$30,'[10]ANEXO III Anexo IX (100 e 80%)'!$AV$6:$CJ$36,31,)</f>
        <v>86499.39</v>
      </c>
      <c r="J5" s="216">
        <f t="shared" ref="J5:J30" si="2">D5+G5+H5+I5</f>
        <v>1690197.92</v>
      </c>
      <c r="K5" s="217">
        <f>J5-VLOOKUP(A5:A31,'[10]ANEXO III Anexo IX (100 e 80%)'!$AV$6:$CL$36,43,)</f>
        <v>0</v>
      </c>
      <c r="L5" s="215">
        <f>VLOOKUP($A$4:$A$30,'[10]Anexo IX.I-Aporte do FA'!$A$4:$C$30,3,)</f>
        <v>23807.250852452125</v>
      </c>
      <c r="M5" s="215">
        <f>IFERROR(VLOOKUP($A$4:$A$30,'[11]Anexo VI-Repasse Fundo de Apoio'!$A$4:$G$13,7,),)</f>
        <v>0</v>
      </c>
      <c r="N5" s="215">
        <f>IFERROR(VLOOKUP($A$4:$A$30,'[10]Anexo IX-Repasse Fundo de Apoio'!$A$4:$C$23,3,),)</f>
        <v>0</v>
      </c>
      <c r="O5" s="218"/>
      <c r="P5" s="215">
        <f>VLOOKUP($A$4:$A$30,'[10]ANEXO X.CSC Total'!$A$3:$E$33,5,)</f>
        <v>109078.39</v>
      </c>
      <c r="Q5" s="215">
        <f>VLOOKUP($A$4:$A$30,'[10]ANEXO X.CSC Total'!$A$3:$C$35,3,)+VLOOKUP($A$4:$A$30,'[10]ANEXO X.CSC Total'!$A$3:$E$33,4,)</f>
        <v>15658.964855868893</v>
      </c>
      <c r="R5" s="219">
        <f>VLOOKUP($A$4:$A$30,'[12]Anexo VII- CSC - SERV.'!$A$4:$F$38,6,)-(P5+Q5)</f>
        <v>-1941.0346441359579</v>
      </c>
      <c r="S5" s="215"/>
      <c r="T5" s="220"/>
      <c r="U5" s="215">
        <f>VLOOKUP($A$4:$A$30,'[10]XI. Tarifas Bancárias'!$A$3:$D$33,4,)</f>
        <v>6448.91</v>
      </c>
      <c r="V5" s="220"/>
      <c r="W5" s="221">
        <f>VLOOKUP($A$4:$A$30,'[10]ANEXO I'!$A$5:$X$37,3,)</f>
        <v>2448</v>
      </c>
      <c r="X5" s="221">
        <f>VLOOKUP($A$4:$A$30,'[10]ANEXO I'!$A$5:$X$37,6,)</f>
        <v>2424</v>
      </c>
      <c r="Y5" s="222">
        <f>VLOOKUP($A$4:$A$30,'[10]ANEXO I'!$A$5:$X$37,12,)</f>
        <v>35.437293729372925</v>
      </c>
      <c r="Z5" s="221">
        <f>VLOOKUP($A$4:$A$30,'[10]ANEXO I'!$A$5:$X$37,15,)</f>
        <v>347</v>
      </c>
      <c r="AA5" s="222">
        <f>VLOOKUP($A$4:$A$30,'[10]ANEXO I'!$A$5:$X$37,21,)</f>
        <v>65.129682997118152</v>
      </c>
      <c r="AB5" s="221">
        <f>VLOOKUP($A$4:$A$30,'[10]ANEXO I'!$A$5:$X$37,24,)</f>
        <v>7988</v>
      </c>
      <c r="AC5" s="223"/>
      <c r="AD5" s="220">
        <f>VLOOKUP($A$4:$A$30,'[10]ANEXO X.II.Encontro de Contas'!$A$2:$D$32,4,)</f>
        <v>6.730000000000004</v>
      </c>
      <c r="AE5" s="223"/>
      <c r="AF5" s="220">
        <f>VLOOKUP($A$4:$A$30,'[13]Demonstrativos 2022'!$A$6:$Y$32,25,)</f>
        <v>1682727.07</v>
      </c>
      <c r="AG5" s="220"/>
      <c r="AH5" s="225">
        <v>3941175</v>
      </c>
      <c r="AJ5" s="226" t="s">
        <v>10</v>
      </c>
      <c r="AK5" s="227">
        <f>AK6+AK9</f>
        <v>2548823.2400000002</v>
      </c>
      <c r="AM5" s="226" t="s">
        <v>538</v>
      </c>
      <c r="AN5" s="213">
        <f>VLOOKUP($AK$2,'Diretrizes - Resumo'!$A$4:$S$30,19,)</f>
        <v>0</v>
      </c>
      <c r="AP5" s="228"/>
      <c r="AQ5" s="229"/>
      <c r="AR5" s="229"/>
      <c r="AS5" s="229"/>
      <c r="AT5" s="229"/>
      <c r="AU5" s="229"/>
      <c r="AV5" s="229"/>
      <c r="AW5" s="229"/>
      <c r="AX5" s="229"/>
    </row>
    <row r="6" spans="1:50" ht="16.2" thickBot="1" x14ac:dyDescent="0.35">
      <c r="A6" s="214" t="s">
        <v>539</v>
      </c>
      <c r="B6" s="215">
        <f>VLOOKUP($A$4:$A$30,'[10]ANEXO III Anexo IX (100 e 80%)'!$AV$6:$CJ$36,7,)</f>
        <v>200247.25</v>
      </c>
      <c r="C6" s="215">
        <f>VLOOKUP($A$4:$A$30,'[10]ANEXO III Anexo IX (100 e 80%)'!$AV$6:$CJ$36,8,)</f>
        <v>92121.72</v>
      </c>
      <c r="D6" s="215">
        <f t="shared" si="0"/>
        <v>292368.96999999997</v>
      </c>
      <c r="E6" s="215">
        <f>VLOOKUP($A$4:$A$30,'[10]ANEXO III Anexo IX (100 e 80%)'!$AV$6:$CJ$36,17,)</f>
        <v>32894.6</v>
      </c>
      <c r="F6" s="215">
        <f>VLOOKUP($A$4:$A$30,'[10]ANEXO III Anexo IX (100 e 80%)'!$AV$6:$CJ$36,18,)</f>
        <v>38672.33</v>
      </c>
      <c r="G6" s="215">
        <f t="shared" si="1"/>
        <v>71566.929999999993</v>
      </c>
      <c r="H6" s="215">
        <f>VLOOKUP($A$4:$A$30,'[10]ANEXO III Anexo IX (100 e 80%)'!$AV$6:$CJ$36,25,)</f>
        <v>370603.17</v>
      </c>
      <c r="I6" s="215">
        <f>VLOOKUP($A$4:$A$30,'[10]ANEXO III Anexo IX (100 e 80%)'!$AV$6:$CJ$36,31,)</f>
        <v>54035.130000000005</v>
      </c>
      <c r="J6" s="216">
        <f t="shared" si="2"/>
        <v>788574.2</v>
      </c>
      <c r="K6" s="217">
        <f>J6-VLOOKUP(A6:A32,'[10]ANEXO III Anexo IX (100 e 80%)'!$AV$6:$CL$36,43,)</f>
        <v>0</v>
      </c>
      <c r="L6" s="215">
        <f>VLOOKUP($A$4:$A$30,'[10]Anexo IX.I-Aporte do FA'!$A$4:$C$30,3,)</f>
        <v>4243.0284136696127</v>
      </c>
      <c r="M6" s="215">
        <f>IFERROR(VLOOKUP($A$4:$A$30,'[11]Anexo VI-Repasse Fundo de Apoio'!$A$4:$G$13,7,),)</f>
        <v>21240</v>
      </c>
      <c r="N6" s="215">
        <f>IFERROR(VLOOKUP($A$4:$A$30,'[10]Anexo IX-Repasse Fundo de Apoio'!$A$4:$C$23,3,),)</f>
        <v>695837.71900000004</v>
      </c>
      <c r="O6" s="218"/>
      <c r="P6" s="215">
        <f>VLOOKUP($A$4:$A$30,'[10]ANEXO X.CSC Total'!$A$3:$E$33,5,)</f>
        <v>48867.7</v>
      </c>
      <c r="Q6" s="215">
        <f>VLOOKUP($A$4:$A$30,'[10]ANEXO X.CSC Total'!$A$3:$C$35,3,)+VLOOKUP($A$4:$A$30,'[10]ANEXO X.CSC Total'!$A$3:$E$33,4,)</f>
        <v>6998.2550695850641</v>
      </c>
      <c r="R6" s="219">
        <f>VLOOKUP($A$4:$A$30,'[12]Anexo VII- CSC - SERV.'!$A$4:$F$38,6,)-(P6+Q6)</f>
        <v>-271.94100789504591</v>
      </c>
      <c r="S6" s="215"/>
      <c r="T6" s="220"/>
      <c r="U6" s="215">
        <f>VLOOKUP($A$4:$A$30,'[10]XI. Tarifas Bancárias'!$A$3:$D$33,4,)</f>
        <v>3177.75</v>
      </c>
      <c r="V6" s="220"/>
      <c r="W6" s="221">
        <f>VLOOKUP($A$4:$A$30,'[10]ANEXO I'!$A$5:$X$37,3,)</f>
        <v>913</v>
      </c>
      <c r="X6" s="221">
        <f>VLOOKUP($A$4:$A$30,'[10]ANEXO I'!$A$5:$X$37,6,)</f>
        <v>906</v>
      </c>
      <c r="Y6" s="222">
        <f>VLOOKUP($A$4:$A$30,'[10]ANEXO I'!$A$5:$X$37,12,)</f>
        <v>39.95584988962473</v>
      </c>
      <c r="Z6" s="221">
        <f>VLOOKUP($A$4:$A$30,'[10]ANEXO I'!$A$5:$X$37,15,)</f>
        <v>383</v>
      </c>
      <c r="AA6" s="222">
        <f>VLOOKUP($A$4:$A$30,'[10]ANEXO I'!$A$5:$X$37,21,)</f>
        <v>68.407310704960835</v>
      </c>
      <c r="AB6" s="221">
        <f>VLOOKUP($A$4:$A$30,'[10]ANEXO I'!$A$5:$X$37,24,)</f>
        <v>4022</v>
      </c>
      <c r="AC6" s="223"/>
      <c r="AD6" s="220">
        <f>VLOOKUP($A$4:$A$30,'[10]ANEXO X.II.Encontro de Contas'!$A$2:$D$32,4,)</f>
        <v>6.84</v>
      </c>
      <c r="AE6" s="223"/>
      <c r="AF6" s="220">
        <f>VLOOKUP($A$4:$A$30,'[13]Demonstrativos 2022'!$A$6:$Y$32,25,)</f>
        <v>890032.54</v>
      </c>
      <c r="AG6" s="220"/>
      <c r="AH6" s="225">
        <v>733508</v>
      </c>
      <c r="AJ6" s="226" t="s">
        <v>11</v>
      </c>
      <c r="AK6" s="230">
        <f>SUM(AK7:AK8)</f>
        <v>2318404.25</v>
      </c>
      <c r="AM6" s="226" t="s">
        <v>540</v>
      </c>
      <c r="AN6" s="213">
        <f>VLOOKUP($AK$2,'Diretrizes - Resumo'!$A$4:$S$30,12,)</f>
        <v>63933.47699640358</v>
      </c>
      <c r="AP6" s="228"/>
      <c r="AQ6" s="229"/>
      <c r="AR6" s="229"/>
      <c r="AS6" s="229"/>
      <c r="AT6" s="229"/>
      <c r="AU6" s="229"/>
      <c r="AV6" s="229"/>
      <c r="AW6" s="229"/>
      <c r="AX6" s="229"/>
    </row>
    <row r="7" spans="1:50" ht="16.2" thickBot="1" x14ac:dyDescent="0.35">
      <c r="A7" s="214" t="s">
        <v>541</v>
      </c>
      <c r="B7" s="215">
        <f>VLOOKUP($A$4:$A$30,'[10]ANEXO III Anexo IX (100 e 80%)'!$AV$6:$CJ$36,7,)</f>
        <v>694909.65</v>
      </c>
      <c r="C7" s="215">
        <f>VLOOKUP($A$4:$A$30,'[10]ANEXO III Anexo IX (100 e 80%)'!$AV$6:$CJ$36,8,)</f>
        <v>376088.88</v>
      </c>
      <c r="D7" s="215">
        <f t="shared" si="0"/>
        <v>1070998.53</v>
      </c>
      <c r="E7" s="215">
        <f>VLOOKUP($A$4:$A$30,'[10]ANEXO III Anexo IX (100 e 80%)'!$AV$6:$CJ$36,17,)</f>
        <v>50453.58</v>
      </c>
      <c r="F7" s="215">
        <f>VLOOKUP($A$4:$A$30,'[10]ANEXO III Anexo IX (100 e 80%)'!$AV$6:$CJ$36,18,)</f>
        <v>47482.929999999993</v>
      </c>
      <c r="G7" s="215">
        <f t="shared" si="1"/>
        <v>97936.51</v>
      </c>
      <c r="H7" s="215">
        <f>VLOOKUP($A$4:$A$30,'[10]ANEXO III Anexo IX (100 e 80%)'!$AV$6:$CJ$36,25,)</f>
        <v>1058826.71</v>
      </c>
      <c r="I7" s="215">
        <f>VLOOKUP($A$4:$A$30,'[10]ANEXO III Anexo IX (100 e 80%)'!$AV$6:$CJ$36,31,)</f>
        <v>112203.81</v>
      </c>
      <c r="J7" s="216">
        <f t="shared" si="2"/>
        <v>2339965.56</v>
      </c>
      <c r="K7" s="217">
        <f>J7-VLOOKUP(A7:A33,'[10]ANEXO III Anexo IX (100 e 80%)'!$AV$6:$CL$36,43,)</f>
        <v>0</v>
      </c>
      <c r="L7" s="215">
        <f>VLOOKUP($A$4:$A$30,'[10]Anexo IX.I-Aporte do FA'!$A$4:$C$30,3,)</f>
        <v>31114.72364474017</v>
      </c>
      <c r="M7" s="215">
        <f>IFERROR(VLOOKUP($A$4:$A$30,'[11]Anexo VI-Repasse Fundo de Apoio'!$A$4:$G$13,7,),)</f>
        <v>0</v>
      </c>
      <c r="N7" s="215">
        <f>IFERROR(VLOOKUP($A$4:$A$30,'[10]Anexo IX-Repasse Fundo de Apoio'!$A$4:$C$23,3,),)</f>
        <v>0</v>
      </c>
      <c r="O7" s="218"/>
      <c r="P7" s="215">
        <f>VLOOKUP($A$4:$A$30,'[10]ANEXO X.CSC Total'!$A$3:$E$33,5,)</f>
        <v>153358.82999999999</v>
      </c>
      <c r="Q7" s="215">
        <f>VLOOKUP($A$4:$A$30,'[10]ANEXO X.CSC Total'!$A$3:$C$35,3,)+VLOOKUP($A$4:$A$30,'[10]ANEXO X.CSC Total'!$A$3:$E$33,4,)</f>
        <v>22048.9418390889</v>
      </c>
      <c r="R7" s="219">
        <f>VLOOKUP($A$4:$A$30,'[12]Anexo VII- CSC - SERV.'!$A$4:$F$38,6,)-(P7+Q7)</f>
        <v>-20313.574070644594</v>
      </c>
      <c r="S7" s="215"/>
      <c r="T7" s="220"/>
      <c r="U7" s="215">
        <f>VLOOKUP($A$4:$A$30,'[10]XI. Tarifas Bancárias'!$A$3:$D$33,4,)</f>
        <v>9050.67</v>
      </c>
      <c r="V7" s="220"/>
      <c r="W7" s="221">
        <f>VLOOKUP($A$4:$A$30,'[10]ANEXO I'!$A$5:$X$37,3,)</f>
        <v>3474</v>
      </c>
      <c r="X7" s="221">
        <f>VLOOKUP($A$4:$A$30,'[10]ANEXO I'!$A$5:$X$37,6,)</f>
        <v>3291</v>
      </c>
      <c r="Y7" s="222">
        <f>VLOOKUP($A$4:$A$30,'[10]ANEXO I'!$A$5:$X$37,12,)</f>
        <v>41.324825281069586</v>
      </c>
      <c r="Z7" s="221">
        <f>VLOOKUP($A$4:$A$30,'[10]ANEXO I'!$A$5:$X$37,15,)</f>
        <v>548</v>
      </c>
      <c r="AA7" s="222">
        <f>VLOOKUP($A$4:$A$30,'[10]ANEXO I'!$A$5:$X$37,21,)</f>
        <v>62.408759124087595</v>
      </c>
      <c r="AB7" s="221">
        <f>VLOOKUP($A$4:$A$30,'[10]ANEXO I'!$A$5:$X$37,24,)</f>
        <v>11491</v>
      </c>
      <c r="AC7" s="223"/>
      <c r="AD7" s="220">
        <f>VLOOKUP($A$4:$A$30,'[10]ANEXO X.II.Encontro de Contas'!$A$2:$D$32,4,)</f>
        <v>161.52000000000001</v>
      </c>
      <c r="AE7" s="223"/>
      <c r="AF7" s="220">
        <f>VLOOKUP($A$4:$A$30,'[13]Demonstrativos 2022'!$A$6:$Y$32,25,)</f>
        <v>2111231.5100000002</v>
      </c>
      <c r="AG7" s="220"/>
      <c r="AH7" s="225">
        <v>8116132</v>
      </c>
      <c r="AJ7" s="182" t="s">
        <v>542</v>
      </c>
      <c r="AK7" s="231">
        <f>VLOOKUP(AK2,'Diretrizes - Resumo'!$A$4:$I$30,2,)</f>
        <v>1778339.4100000001</v>
      </c>
      <c r="AM7" s="226" t="s">
        <v>543</v>
      </c>
      <c r="AN7" s="213">
        <f>VLOOKUP($AK$2,'Diretrizes - Resumo'!$A$4:$M$30,13,)</f>
        <v>0</v>
      </c>
      <c r="AP7" s="228"/>
      <c r="AQ7" s="229"/>
      <c r="AR7" s="229"/>
      <c r="AS7" s="229"/>
      <c r="AT7" s="229"/>
      <c r="AU7" s="229"/>
      <c r="AV7" s="229"/>
      <c r="AW7" s="229"/>
      <c r="AX7" s="229"/>
    </row>
    <row r="8" spans="1:50" ht="16.2" thickBot="1" x14ac:dyDescent="0.35">
      <c r="A8" s="214" t="s">
        <v>544</v>
      </c>
      <c r="B8" s="215">
        <f>VLOOKUP($A$4:$A$30,'[10]ANEXO III Anexo IX (100 e 80%)'!$AV$6:$CJ$36,7,)</f>
        <v>401925.32999999996</v>
      </c>
      <c r="C8" s="215">
        <f>VLOOKUP($A$4:$A$30,'[10]ANEXO III Anexo IX (100 e 80%)'!$AV$6:$CJ$36,8,)</f>
        <v>100240.65</v>
      </c>
      <c r="D8" s="215">
        <f t="shared" si="0"/>
        <v>502165.98</v>
      </c>
      <c r="E8" s="215">
        <f>VLOOKUP($A$4:$A$30,'[10]ANEXO III Anexo IX (100 e 80%)'!$AV$6:$CJ$36,17,)</f>
        <v>29991.8</v>
      </c>
      <c r="F8" s="215">
        <f>VLOOKUP($A$4:$A$30,'[10]ANEXO III Anexo IX (100 e 80%)'!$AV$6:$CJ$36,18,)</f>
        <v>32045.800000000003</v>
      </c>
      <c r="G8" s="215">
        <f t="shared" si="1"/>
        <v>62037.600000000006</v>
      </c>
      <c r="H8" s="215">
        <f>VLOOKUP($A$4:$A$30,'[10]ANEXO III Anexo IX (100 e 80%)'!$AV$6:$CJ$36,25,)</f>
        <v>882002.37000000011</v>
      </c>
      <c r="I8" s="215">
        <f>VLOOKUP($A$4:$A$30,'[10]ANEXO III Anexo IX (100 e 80%)'!$AV$6:$CJ$36,31,)</f>
        <v>72849.89</v>
      </c>
      <c r="J8" s="216">
        <f t="shared" si="2"/>
        <v>1519055.84</v>
      </c>
      <c r="K8" s="217">
        <f>J8-VLOOKUP(A8:A34,'[10]ANEXO III Anexo IX (100 e 80%)'!$AV$6:$CL$36,43,)</f>
        <v>0</v>
      </c>
      <c r="L8" s="215">
        <f>VLOOKUP($A$4:$A$30,'[10]Anexo IX.I-Aporte do FA'!$A$4:$C$30,3,)</f>
        <v>20687.616089652533</v>
      </c>
      <c r="M8" s="215">
        <f>'[11]Anexo VI-Repasse Fundo de Apoio'!$E$79</f>
        <v>20840</v>
      </c>
      <c r="N8" s="215">
        <f>IFERROR(VLOOKUP($A$4:$A$30,'[10]Anexo IX-Repasse Fundo de Apoio'!$A$4:$C$23,3,),)</f>
        <v>148054.65999999997</v>
      </c>
      <c r="O8" s="218"/>
      <c r="P8" s="215">
        <f>VLOOKUP($A$4:$A$30,'[10]ANEXO X.CSC Total'!$A$3:$E$33,5,)</f>
        <v>96616.63</v>
      </c>
      <c r="Q8" s="215">
        <f>VLOOKUP($A$4:$A$30,'[10]ANEXO X.CSC Total'!$A$3:$C$35,3,)+VLOOKUP($A$4:$A$30,'[10]ANEXO X.CSC Total'!$A$3:$E$33,4,)</f>
        <v>13973.632722623406</v>
      </c>
      <c r="R8" s="219">
        <f>VLOOKUP($A$4:$A$30,'[12]Anexo VII- CSC - SERV.'!$A$4:$F$38,6,)-(P8+Q8)</f>
        <v>21140.337469365477</v>
      </c>
      <c r="S8" s="215"/>
      <c r="T8" s="220"/>
      <c r="U8" s="215">
        <f>VLOOKUP($A$4:$A$30,'[10]XI. Tarifas Bancárias'!$A$3:$D$33,4,)</f>
        <v>6700.86</v>
      </c>
      <c r="V8" s="220"/>
      <c r="W8" s="221">
        <f>VLOOKUP($A$4:$A$30,'[10]ANEXO I'!$A$5:$X$37,3,)</f>
        <v>1582</v>
      </c>
      <c r="X8" s="221">
        <f>VLOOKUP($A$4:$A$30,'[10]ANEXO I'!$A$5:$X$37,6,)</f>
        <v>1559</v>
      </c>
      <c r="Y8" s="222">
        <f>VLOOKUP($A$4:$A$30,'[10]ANEXO I'!$A$5:$X$37,12,)</f>
        <v>28.479794740218097</v>
      </c>
      <c r="Z8" s="221">
        <f>VLOOKUP($A$4:$A$30,'[10]ANEXO I'!$A$5:$X$37,15,)</f>
        <v>279</v>
      </c>
      <c r="AA8" s="222">
        <f>VLOOKUP($A$4:$A$30,'[10]ANEXO I'!$A$5:$X$37,21,)</f>
        <v>60.215053763440864</v>
      </c>
      <c r="AB8" s="221">
        <f>VLOOKUP($A$4:$A$30,'[10]ANEXO I'!$A$5:$X$37,24,)</f>
        <v>9572</v>
      </c>
      <c r="AC8" s="223"/>
      <c r="AD8" s="220">
        <f>VLOOKUP($A$4:$A$30,'[10]ANEXO X.II.Encontro de Contas'!$A$2:$D$32,4,)</f>
        <v>249.32</v>
      </c>
      <c r="AE8" s="223"/>
      <c r="AF8" s="220">
        <f>VLOOKUP($A$4:$A$30,'[13]Demonstrativos 2022'!$A$6:$Y$32,25,)</f>
        <v>1687241.8900000001</v>
      </c>
      <c r="AG8" s="220"/>
      <c r="AH8" s="225">
        <v>1581016</v>
      </c>
      <c r="AJ8" s="182" t="s">
        <v>90</v>
      </c>
      <c r="AK8" s="213">
        <f>VLOOKUP($AK$2,'Diretrizes - Resumo'!$A$4:$I$30,3,)</f>
        <v>540064.84</v>
      </c>
      <c r="AM8" s="226" t="s">
        <v>516</v>
      </c>
      <c r="AN8" s="213">
        <f>VLOOKUP($AK$2,$A$4:$AF$30,30,)</f>
        <v>1215.8699999999999</v>
      </c>
      <c r="AP8" s="228"/>
      <c r="AQ8" s="229"/>
      <c r="AR8" s="229"/>
      <c r="AS8" s="229"/>
      <c r="AT8" s="229"/>
      <c r="AU8" s="229"/>
      <c r="AV8" s="229"/>
      <c r="AW8" s="229"/>
      <c r="AX8" s="229"/>
    </row>
    <row r="9" spans="1:50" ht="16.2" thickBot="1" x14ac:dyDescent="0.35">
      <c r="A9" s="214" t="s">
        <v>545</v>
      </c>
      <c r="B9" s="215">
        <f>VLOOKUP($A$4:$A$30,'[10]ANEXO III Anexo IX (100 e 80%)'!$AV$6:$CJ$36,7,)</f>
        <v>62334.69</v>
      </c>
      <c r="C9" s="215">
        <f>VLOOKUP($A$4:$A$30,'[10]ANEXO III Anexo IX (100 e 80%)'!$AV$6:$CJ$36,8,)</f>
        <v>22128.78</v>
      </c>
      <c r="D9" s="215">
        <f t="shared" si="0"/>
        <v>84463.47</v>
      </c>
      <c r="E9" s="215">
        <f>VLOOKUP($A$4:$A$30,'[10]ANEXO III Anexo IX (100 e 80%)'!$AV$6:$CJ$36,17,)</f>
        <v>5983.02</v>
      </c>
      <c r="F9" s="215">
        <f>VLOOKUP($A$4:$A$30,'[10]ANEXO III Anexo IX (100 e 80%)'!$AV$6:$CJ$36,18,)</f>
        <v>7041.51</v>
      </c>
      <c r="G9" s="215">
        <f t="shared" si="1"/>
        <v>13024.53</v>
      </c>
      <c r="H9" s="215">
        <f>VLOOKUP($A$4:$A$30,'[10]ANEXO III Anexo IX (100 e 80%)'!$AV$6:$CJ$36,25,)</f>
        <v>153880.47999999998</v>
      </c>
      <c r="I9" s="215">
        <f>VLOOKUP($A$4:$A$30,'[10]ANEXO III Anexo IX (100 e 80%)'!$AV$6:$CJ$36,31,)</f>
        <v>6619.85</v>
      </c>
      <c r="J9" s="216">
        <f t="shared" si="2"/>
        <v>257988.33</v>
      </c>
      <c r="K9" s="217">
        <f>J9-VLOOKUP(A9:A35,'[10]ANEXO III Anexo IX (100 e 80%)'!$AV$6:$CL$36,43,)</f>
        <v>0</v>
      </c>
      <c r="L9" s="215">
        <f>VLOOKUP($A$4:$A$30,'[10]Anexo IX.I-Aporte do FA'!$A$4:$C$30,3,)</f>
        <v>1366.406284467366</v>
      </c>
      <c r="M9" s="215">
        <f>IFERROR(VLOOKUP($A$4:$A$30,'[11]Anexo VI-Repasse Fundo de Apoio'!$A$4:$G$13,7,),)</f>
        <v>23240</v>
      </c>
      <c r="N9" s="215">
        <f>IFERROR(VLOOKUP($A$4:$A$30,'[10]Anexo IX-Repasse Fundo de Apoio'!$A$4:$C$23,3,),)</f>
        <v>1110325.2599999998</v>
      </c>
      <c r="O9" s="218"/>
      <c r="P9" s="215">
        <f>VLOOKUP($A$4:$A$30,'[10]ANEXO X.CSC Total'!$A$3:$E$33,5,)</f>
        <v>16734.919999999998</v>
      </c>
      <c r="Q9" s="215">
        <f>VLOOKUP($A$4:$A$30,'[10]ANEXO X.CSC Total'!$A$3:$C$35,3,)+VLOOKUP($A$4:$A$30,'[10]ANEXO X.CSC Total'!$A$3:$E$33,4,)</f>
        <v>2399.3104361468982</v>
      </c>
      <c r="R9" s="219">
        <f>VLOOKUP($A$4:$A$30,'[12]Anexo VII- CSC - SERV.'!$A$4:$F$38,6,)-(P9+Q9)</f>
        <v>-1470.5169523281984</v>
      </c>
      <c r="S9" s="215">
        <v>0</v>
      </c>
      <c r="T9" s="220"/>
      <c r="U9" s="215">
        <f>VLOOKUP($A$4:$A$30,'[10]XI. Tarifas Bancárias'!$A$3:$D$33,4,)</f>
        <v>844.85</v>
      </c>
      <c r="V9" s="220"/>
      <c r="W9" s="221">
        <f>VLOOKUP($A$4:$A$30,'[10]ANEXO I'!$A$5:$X$37,3,)</f>
        <v>276</v>
      </c>
      <c r="X9" s="221">
        <f>VLOOKUP($A$4:$A$30,'[10]ANEXO I'!$A$5:$X$37,6,)</f>
        <v>264</v>
      </c>
      <c r="Y9" s="222">
        <f>VLOOKUP($A$4:$A$30,'[10]ANEXO I'!$A$5:$X$37,12,)</f>
        <v>35.606060606060609</v>
      </c>
      <c r="Z9" s="221">
        <f>VLOOKUP($A$4:$A$30,'[10]ANEXO I'!$A$5:$X$37,15,)</f>
        <v>75</v>
      </c>
      <c r="AA9" s="222">
        <f>VLOOKUP($A$4:$A$30,'[10]ANEXO I'!$A$5:$X$37,21,)</f>
        <v>69.333333333333343</v>
      </c>
      <c r="AB9" s="221">
        <f>VLOOKUP($A$4:$A$30,'[10]ANEXO I'!$A$5:$X$37,24,)</f>
        <v>1670</v>
      </c>
      <c r="AC9" s="223"/>
      <c r="AD9" s="220">
        <f>VLOOKUP($A$4:$A$30,'[10]ANEXO X.II.Encontro de Contas'!$A$2:$D$32,4,)</f>
        <v>3.91</v>
      </c>
      <c r="AE9" s="223"/>
      <c r="AF9" s="220">
        <f>VLOOKUP($A$4:$A$30,'[13]Demonstrativos 2022'!$A$6:$Y$32,25,)</f>
        <v>109681.65</v>
      </c>
      <c r="AG9" s="220"/>
      <c r="AH9" s="225">
        <v>636303</v>
      </c>
      <c r="AJ9" s="226" t="s">
        <v>12</v>
      </c>
      <c r="AK9" s="232">
        <f>SUM(AK10:AK11)</f>
        <v>230418.99</v>
      </c>
      <c r="AM9" s="226" t="s">
        <v>546</v>
      </c>
      <c r="AN9" s="213">
        <f>VLOOKUP($AK$2,$A$4:$AF$30,32,)</f>
        <v>10977447.08</v>
      </c>
      <c r="AP9" s="228"/>
      <c r="AQ9" s="229"/>
      <c r="AR9" s="229"/>
      <c r="AS9" s="229"/>
      <c r="AT9" s="229"/>
      <c r="AU9" s="229"/>
      <c r="AV9" s="229"/>
      <c r="AW9" s="229"/>
      <c r="AX9" s="229"/>
    </row>
    <row r="10" spans="1:50" ht="16.2" thickBot="1" x14ac:dyDescent="0.35">
      <c r="A10" s="214" t="s">
        <v>547</v>
      </c>
      <c r="B10" s="215">
        <f>VLOOKUP($A$4:$A$30,'[10]ANEXO III Anexo IX (100 e 80%)'!$AV$6:$CJ$36,7,)</f>
        <v>241997</v>
      </c>
      <c r="C10" s="215">
        <f>VLOOKUP($A$4:$A$30,'[10]ANEXO III Anexo IX (100 e 80%)'!$AV$6:$CJ$36,8,)</f>
        <v>75131.67</v>
      </c>
      <c r="D10" s="215">
        <f t="shared" si="0"/>
        <v>317128.67</v>
      </c>
      <c r="E10" s="215">
        <f>VLOOKUP($A$4:$A$30,'[10]ANEXO III Anexo IX (100 e 80%)'!$AV$6:$CJ$36,17,)</f>
        <v>24837.98</v>
      </c>
      <c r="F10" s="215">
        <f>VLOOKUP($A$4:$A$30,'[10]ANEXO III Anexo IX (100 e 80%)'!$AV$6:$CJ$36,18,)</f>
        <v>22577.910000000003</v>
      </c>
      <c r="G10" s="215">
        <f t="shared" si="1"/>
        <v>47415.89</v>
      </c>
      <c r="H10" s="215">
        <f>VLOOKUP($A$4:$A$30,'[10]ANEXO III Anexo IX (100 e 80%)'!$AV$6:$CJ$36,25,)</f>
        <v>501355.5</v>
      </c>
      <c r="I10" s="215">
        <f>VLOOKUP($A$4:$A$30,'[10]ANEXO III Anexo IX (100 e 80%)'!$AV$6:$CJ$36,31,)</f>
        <v>36373.240000000005</v>
      </c>
      <c r="J10" s="216">
        <f t="shared" si="2"/>
        <v>902273.3</v>
      </c>
      <c r="K10" s="217">
        <f>J10-VLOOKUP(A10:A36,'[10]ANEXO III Anexo IX (100 e 80%)'!$AV$6:$CL$36,43,)</f>
        <v>0</v>
      </c>
      <c r="L10" s="215">
        <f>VLOOKUP($A$4:$A$30,'[10]Anexo IX.I-Aporte do FA'!$A$4:$C$30,3,)</f>
        <v>5579.7161747443115</v>
      </c>
      <c r="M10" s="215">
        <f>IFERROR(VLOOKUP($A$4:$A$30,'[11]Anexo VI-Repasse Fundo de Apoio'!$A$4:$G$13,7,),)</f>
        <v>15240</v>
      </c>
      <c r="N10" s="215">
        <f>IFERROR(VLOOKUP($A$4:$A$30,'[10]Anexo IX-Repasse Fundo de Apoio'!$A$4:$C$23,3,),)</f>
        <v>473379.53900000005</v>
      </c>
      <c r="O10" s="218"/>
      <c r="P10" s="215">
        <f>VLOOKUP($A$4:$A$30,'[10]ANEXO X.CSC Total'!$A$3:$E$33,5,)</f>
        <v>57795.199999999997</v>
      </c>
      <c r="Q10" s="215">
        <f>VLOOKUP($A$4:$A$30,'[10]ANEXO X.CSC Total'!$A$3:$C$35,3,)+VLOOKUP($A$4:$A$30,'[10]ANEXO X.CSC Total'!$A$3:$E$33,4,)</f>
        <v>8455.0237146087675</v>
      </c>
      <c r="R10" s="219">
        <f>VLOOKUP($A$4:$A$30,'[12]Anexo VII- CSC - SERV.'!$A$4:$F$38,6,)-(P10+Q10)</f>
        <v>7766.1196063943062</v>
      </c>
      <c r="S10" s="215"/>
      <c r="T10" s="220"/>
      <c r="U10" s="215">
        <f>VLOOKUP($A$4:$A$30,'[10]XI. Tarifas Bancárias'!$A$3:$D$33,4,)</f>
        <v>3840.54</v>
      </c>
      <c r="V10" s="220"/>
      <c r="W10" s="221">
        <f>VLOOKUP($A$4:$A$30,'[10]ANEXO I'!$A$5:$X$37,3,)</f>
        <v>1013</v>
      </c>
      <c r="X10" s="221">
        <f>VLOOKUP($A$4:$A$30,'[10]ANEXO I'!$A$5:$X$37,6,)</f>
        <v>992</v>
      </c>
      <c r="Y10" s="222">
        <f>VLOOKUP($A$4:$A$30,'[10]ANEXO I'!$A$5:$X$37,12,)</f>
        <v>29.637096774193552</v>
      </c>
      <c r="Z10" s="221">
        <f>VLOOKUP($A$4:$A$30,'[10]ANEXO I'!$A$5:$X$37,15,)</f>
        <v>264</v>
      </c>
      <c r="AA10" s="222">
        <f>VLOOKUP($A$4:$A$30,'[10]ANEXO I'!$A$5:$X$37,21,)</f>
        <v>65.909090909090907</v>
      </c>
      <c r="AB10" s="221">
        <f>VLOOKUP($A$4:$A$30,'[10]ANEXO I'!$A$5:$X$37,24,)</f>
        <v>5441</v>
      </c>
      <c r="AC10" s="223"/>
      <c r="AD10" s="220">
        <f>VLOOKUP($A$4:$A$30,'[10]ANEXO X.II.Encontro de Contas'!$A$2:$D$32,4,)</f>
        <v>297.29000000000002</v>
      </c>
      <c r="AE10" s="223"/>
      <c r="AF10" s="220">
        <f>VLOOKUP($A$4:$A$30,'[13]Demonstrativos 2022'!$A$6:$Y$32,25,)</f>
        <v>1161913.3600000001</v>
      </c>
      <c r="AG10" s="220"/>
      <c r="AH10" s="225">
        <v>1511459</v>
      </c>
      <c r="AJ10" s="182" t="s">
        <v>548</v>
      </c>
      <c r="AK10" s="213">
        <f>VLOOKUP($AK$2,'Diretrizes - Resumo'!$A$4:$J$30,5,)</f>
        <v>114278.56</v>
      </c>
      <c r="AP10" s="228"/>
      <c r="AQ10" s="229"/>
      <c r="AR10" s="229"/>
      <c r="AS10" s="229"/>
      <c r="AT10" s="229"/>
      <c r="AU10" s="229"/>
      <c r="AV10" s="229"/>
      <c r="AW10" s="229"/>
      <c r="AX10" s="229"/>
    </row>
    <row r="11" spans="1:50" ht="16.2" thickBot="1" x14ac:dyDescent="0.35">
      <c r="A11" s="214" t="s">
        <v>549</v>
      </c>
      <c r="B11" s="215">
        <f>VLOOKUP($A$4:$A$30,'[10]ANEXO III Anexo IX (100 e 80%)'!$AV$6:$CJ$36,7,)</f>
        <v>565713.92000000004</v>
      </c>
      <c r="C11" s="215">
        <f>VLOOKUP($A$4:$A$30,'[10]ANEXO III Anexo IX (100 e 80%)'!$AV$6:$CJ$36,8,)</f>
        <v>150894.57</v>
      </c>
      <c r="D11" s="215">
        <f t="shared" si="0"/>
        <v>716608.49</v>
      </c>
      <c r="E11" s="215">
        <f>VLOOKUP($A$4:$A$30,'[10]ANEXO III Anexo IX (100 e 80%)'!$AV$6:$CJ$36,17,)</f>
        <v>19343.57</v>
      </c>
      <c r="F11" s="215">
        <f>VLOOKUP($A$4:$A$30,'[10]ANEXO III Anexo IX (100 e 80%)'!$AV$6:$CJ$36,18,)</f>
        <v>26731.75</v>
      </c>
      <c r="G11" s="215">
        <f t="shared" si="1"/>
        <v>46075.32</v>
      </c>
      <c r="H11" s="215">
        <f>VLOOKUP($A$4:$A$30,'[10]ANEXO III Anexo IX (100 e 80%)'!$AV$6:$CJ$36,25,)</f>
        <v>840906.1399999999</v>
      </c>
      <c r="I11" s="215">
        <f>VLOOKUP($A$4:$A$30,'[10]ANEXO III Anexo IX (100 e 80%)'!$AV$6:$CJ$36,31,)</f>
        <v>83605.759999999995</v>
      </c>
      <c r="J11" s="216">
        <f t="shared" si="2"/>
        <v>1687195.7099999997</v>
      </c>
      <c r="K11" s="217">
        <f>J11-VLOOKUP(A11:A37,'[10]ANEXO III Anexo IX (100 e 80%)'!$AV$6:$CL$36,43,)</f>
        <v>0</v>
      </c>
      <c r="L11" s="215">
        <f>VLOOKUP($A$4:$A$30,'[10]Anexo IX.I-Aporte do FA'!$A$4:$C$30,3,)</f>
        <v>22219.208575567471</v>
      </c>
      <c r="M11" s="215">
        <f>'[11]Anexo VI-Repasse Fundo de Apoio'!$E$78</f>
        <v>19240</v>
      </c>
      <c r="N11" s="215">
        <f>IFERROR(VLOOKUP($A$4:$A$30,'[10]Anexo IX-Repasse Fundo de Apoio'!$A$4:$C$23,3,),)</f>
        <v>158255.79</v>
      </c>
      <c r="O11" s="218"/>
      <c r="P11" s="215">
        <f>VLOOKUP($A$4:$A$30,'[10]ANEXO X.CSC Total'!$A$3:$E$33,5,)</f>
        <v>110476.91</v>
      </c>
      <c r="Q11" s="215">
        <f>VLOOKUP($A$4:$A$30,'[10]ANEXO X.CSC Total'!$A$3:$C$35,3,)+VLOOKUP($A$4:$A$30,'[10]ANEXO X.CSC Total'!$A$3:$E$33,4,)</f>
        <v>15992.94909493747</v>
      </c>
      <c r="R11" s="219">
        <f>VLOOKUP($A$4:$A$30,'[12]Anexo VII- CSC - SERV.'!$A$4:$F$38,6,)-(P11+Q11)</f>
        <v>-3763.5742101008509</v>
      </c>
      <c r="S11" s="215"/>
      <c r="T11" s="220"/>
      <c r="U11" s="215">
        <f>VLOOKUP($A$4:$A$30,'[10]XI. Tarifas Bancárias'!$A$3:$D$33,4,)</f>
        <v>6855.41</v>
      </c>
      <c r="V11" s="220"/>
      <c r="W11" s="221">
        <f>VLOOKUP($A$4:$A$30,'[10]ANEXO I'!$A$5:$X$37,3,)</f>
        <v>2302</v>
      </c>
      <c r="X11" s="221">
        <f>VLOOKUP($A$4:$A$30,'[10]ANEXO I'!$A$5:$X$37,6,)</f>
        <v>2198</v>
      </c>
      <c r="Y11" s="222">
        <f>VLOOKUP($A$4:$A$30,'[10]ANEXO I'!$A$5:$X$37,12,)</f>
        <v>30.982711555959966</v>
      </c>
      <c r="Z11" s="221">
        <f>VLOOKUP($A$4:$A$30,'[10]ANEXO I'!$A$5:$X$37,15,)</f>
        <v>198</v>
      </c>
      <c r="AA11" s="222">
        <f>VLOOKUP($A$4:$A$30,'[10]ANEXO I'!$A$5:$X$37,21,)</f>
        <v>58.080808080808083</v>
      </c>
      <c r="AB11" s="221">
        <f>VLOOKUP($A$4:$A$30,'[10]ANEXO I'!$A$5:$X$37,24,)</f>
        <v>9126</v>
      </c>
      <c r="AC11" s="223"/>
      <c r="AD11" s="220">
        <f>VLOOKUP($A$4:$A$30,'[10]ANEXO X.II.Encontro de Contas'!$A$2:$D$32,4,)</f>
        <v>284.69000000000005</v>
      </c>
      <c r="AE11" s="223"/>
      <c r="AF11" s="220">
        <f>VLOOKUP($A$4:$A$30,'[13]Demonstrativos 2022'!$A$6:$Y$32,25,)</f>
        <v>1491564.8399999999</v>
      </c>
      <c r="AG11" s="220"/>
      <c r="AH11" s="225">
        <v>3127511</v>
      </c>
      <c r="AJ11" s="182" t="s">
        <v>91</v>
      </c>
      <c r="AK11" s="213">
        <f>VLOOKUP($AK$2,'Diretrizes - Resumo'!$A$4:$I$30,6,)</f>
        <v>116140.43</v>
      </c>
      <c r="AP11" s="228"/>
      <c r="AQ11" s="229"/>
      <c r="AR11" s="229"/>
      <c r="AS11" s="229"/>
      <c r="AT11" s="229"/>
      <c r="AU11" s="229"/>
      <c r="AV11" s="229"/>
      <c r="AW11" s="229"/>
      <c r="AX11" s="229"/>
    </row>
    <row r="12" spans="1:50" ht="16.2" thickBot="1" x14ac:dyDescent="0.35">
      <c r="A12" s="214" t="s">
        <v>550</v>
      </c>
      <c r="B12" s="215">
        <f>VLOOKUP($A$4:$A$30,'[10]ANEXO III Anexo IX (100 e 80%)'!$AV$6:$CJ$36,7,)</f>
        <v>1778339.4100000001</v>
      </c>
      <c r="C12" s="215">
        <f>VLOOKUP($A$4:$A$30,'[10]ANEXO III Anexo IX (100 e 80%)'!$AV$6:$CJ$36,8,)</f>
        <v>540064.84</v>
      </c>
      <c r="D12" s="215">
        <f t="shared" si="0"/>
        <v>2318404.25</v>
      </c>
      <c r="E12" s="215">
        <f>VLOOKUP($A$4:$A$30,'[10]ANEXO III Anexo IX (100 e 80%)'!$AV$6:$CJ$36,17,)</f>
        <v>114278.56</v>
      </c>
      <c r="F12" s="215">
        <f>VLOOKUP($A$4:$A$30,'[10]ANEXO III Anexo IX (100 e 80%)'!$AV$6:$CJ$36,18,)</f>
        <v>116140.43</v>
      </c>
      <c r="G12" s="215">
        <f t="shared" si="1"/>
        <v>230418.99</v>
      </c>
      <c r="H12" s="215">
        <f>VLOOKUP($A$4:$A$30,'[10]ANEXO III Anexo IX (100 e 80%)'!$AV$6:$CJ$36,25,)</f>
        <v>2283881.1799999997</v>
      </c>
      <c r="I12" s="215">
        <f>VLOOKUP($A$4:$A$30,'[10]ANEXO III Anexo IX (100 e 80%)'!$AV$6:$CJ$36,31,)</f>
        <v>249783.74</v>
      </c>
      <c r="J12" s="216">
        <f t="shared" si="2"/>
        <v>5082488.16</v>
      </c>
      <c r="K12" s="217">
        <f>J12-VLOOKUP(A12:A38,'[10]ANEXO III Anexo IX (100 e 80%)'!$AV$6:$CL$36,43,)</f>
        <v>0</v>
      </c>
      <c r="L12" s="215">
        <f>VLOOKUP($A$4:$A$30,'[10]Anexo IX.I-Aporte do FA'!$A$4:$C$30,3,)</f>
        <v>63933.47699640358</v>
      </c>
      <c r="M12" s="215">
        <f>IFERROR(VLOOKUP($A$4:$A$30,'[11]Anexo VI-Repasse Fundo de Apoio'!$A$4:$G$13,7,),)</f>
        <v>0</v>
      </c>
      <c r="N12" s="215">
        <f>IFERROR(VLOOKUP($A$4:$A$30,'[10]Anexo IX-Repasse Fundo de Apoio'!$A$4:$C$23,3,),)</f>
        <v>0</v>
      </c>
      <c r="O12" s="218"/>
      <c r="P12" s="215">
        <f>VLOOKUP($A$4:$A$30,'[10]ANEXO X.CSC Total'!$A$3:$E$33,5,)</f>
        <v>334853.81</v>
      </c>
      <c r="Q12" s="215">
        <f>VLOOKUP($A$4:$A$30,'[10]ANEXO X.CSC Total'!$A$3:$C$35,3,)+VLOOKUP($A$4:$A$30,'[10]ANEXO X.CSC Total'!$A$3:$E$33,4,)</f>
        <v>48792.739578978741</v>
      </c>
      <c r="R12" s="219">
        <f>VLOOKUP($A$4:$A$30,'[12]Anexo VII- CSC - SERV.'!$A$4:$F$38,6,)-(P12+Q12)</f>
        <v>-33228.377959755133</v>
      </c>
      <c r="S12" s="215"/>
      <c r="T12" s="220"/>
      <c r="U12" s="215">
        <f>VLOOKUP($A$4:$A$30,'[10]XI. Tarifas Bancárias'!$A$3:$D$33,4,)</f>
        <v>15534.21</v>
      </c>
      <c r="V12" s="220"/>
      <c r="W12" s="221">
        <f>VLOOKUP($A$4:$A$30,'[10]ANEXO I'!$A$5:$X$37,3,)</f>
        <v>7920</v>
      </c>
      <c r="X12" s="221">
        <f>VLOOKUP($A$4:$A$30,'[10]ANEXO I'!$A$5:$X$37,6,)</f>
        <v>7051</v>
      </c>
      <c r="Y12" s="222">
        <f>VLOOKUP($A$4:$A$30,'[10]ANEXO I'!$A$5:$X$37,12,)</f>
        <v>28.180399943270459</v>
      </c>
      <c r="Z12" s="221">
        <f>VLOOKUP($A$4:$A$30,'[10]ANEXO I'!$A$5:$X$37,15,)</f>
        <v>1136</v>
      </c>
      <c r="AA12" s="222">
        <f>VLOOKUP($A$4:$A$30,'[10]ANEXO I'!$A$5:$X$37,21,)</f>
        <v>55.281690140845072</v>
      </c>
      <c r="AB12" s="221">
        <f>VLOOKUP($A$4:$A$30,'[10]ANEXO I'!$A$5:$X$37,24,)</f>
        <v>24786</v>
      </c>
      <c r="AC12" s="223"/>
      <c r="AD12" s="220">
        <f>VLOOKUP($A$4:$A$30,'[10]ANEXO X.II.Encontro de Contas'!$A$2:$D$32,4,)</f>
        <v>1215.8699999999999</v>
      </c>
      <c r="AE12" s="223"/>
      <c r="AF12" s="220">
        <f>VLOOKUP($A$4:$A$30,'[13]Demonstrativos 2022'!$A$6:$Y$32,25,)</f>
        <v>10977447.08</v>
      </c>
      <c r="AG12" s="220"/>
      <c r="AH12" s="225">
        <v>14136417</v>
      </c>
      <c r="AJ12" s="233" t="s">
        <v>78</v>
      </c>
      <c r="AK12" s="213">
        <f>VLOOKUP($AK$2,'Diretrizes - Resumo'!$A$4:$I$30,8,)</f>
        <v>2283881.1799999997</v>
      </c>
      <c r="AP12" s="228"/>
      <c r="AQ12" s="229"/>
      <c r="AR12" s="229"/>
      <c r="AS12" s="229"/>
      <c r="AT12" s="229"/>
      <c r="AU12" s="229"/>
      <c r="AV12" s="229"/>
      <c r="AW12" s="229"/>
      <c r="AX12" s="229"/>
    </row>
    <row r="13" spans="1:50" ht="16.2" thickBot="1" x14ac:dyDescent="0.35">
      <c r="A13" s="214" t="s">
        <v>551</v>
      </c>
      <c r="B13" s="215">
        <f>VLOOKUP($A$4:$A$30,'[10]ANEXO III Anexo IX (100 e 80%)'!$AV$6:$CJ$36,7,)</f>
        <v>1200656.43</v>
      </c>
      <c r="C13" s="215">
        <f>VLOOKUP($A$4:$A$30,'[10]ANEXO III Anexo IX (100 e 80%)'!$AV$6:$CJ$36,8,)</f>
        <v>375989.23</v>
      </c>
      <c r="D13" s="215">
        <f t="shared" si="0"/>
        <v>1576645.66</v>
      </c>
      <c r="E13" s="215">
        <f>VLOOKUP($A$4:$A$30,'[10]ANEXO III Anexo IX (100 e 80%)'!$AV$6:$CJ$36,17,)</f>
        <v>62103.05</v>
      </c>
      <c r="F13" s="215">
        <f>VLOOKUP($A$4:$A$30,'[10]ANEXO III Anexo IX (100 e 80%)'!$AV$6:$CJ$36,18,)</f>
        <v>51478.67</v>
      </c>
      <c r="G13" s="215">
        <f t="shared" si="1"/>
        <v>113581.72</v>
      </c>
      <c r="H13" s="215">
        <f>VLOOKUP($A$4:$A$30,'[10]ANEXO III Anexo IX (100 e 80%)'!$AV$6:$CJ$36,25,)</f>
        <v>1552902.83</v>
      </c>
      <c r="I13" s="215">
        <f>VLOOKUP($A$4:$A$30,'[10]ANEXO III Anexo IX (100 e 80%)'!$AV$6:$CJ$36,31,)</f>
        <v>188739.14</v>
      </c>
      <c r="J13" s="216">
        <f t="shared" si="2"/>
        <v>3431869.35</v>
      </c>
      <c r="K13" s="217">
        <f>J13-VLOOKUP(A13:A39,'[10]ANEXO III Anexo IX (100 e 80%)'!$AV$6:$CL$36,43,)</f>
        <v>0</v>
      </c>
      <c r="L13" s="215">
        <f>VLOOKUP($A$4:$A$30,'[10]Anexo IX.I-Aporte do FA'!$A$4:$C$30,3,)</f>
        <v>41570.892229057492</v>
      </c>
      <c r="M13" s="215">
        <f>IFERROR(VLOOKUP($A$4:$A$30,'[11]Anexo VI-Repasse Fundo de Apoio'!$A$4:$G$13,7,),)</f>
        <v>0</v>
      </c>
      <c r="N13" s="215">
        <f>IFERROR(VLOOKUP($A$4:$A$30,'[10]Anexo IX-Repasse Fundo de Apoio'!$A$4:$C$23,3,),)</f>
        <v>0</v>
      </c>
      <c r="O13" s="218"/>
      <c r="P13" s="215">
        <f>VLOOKUP($A$4:$A$30,'[10]ANEXO X.CSC Total'!$A$3:$E$33,5,)</f>
        <v>221648.81</v>
      </c>
      <c r="Q13" s="215">
        <f>VLOOKUP($A$4:$A$30,'[10]ANEXO X.CSC Total'!$A$3:$C$35,3,)+VLOOKUP($A$4:$A$30,'[10]ANEXO X.CSC Total'!$A$3:$E$33,4,)</f>
        <v>32331.150558203455</v>
      </c>
      <c r="R13" s="219">
        <f>VLOOKUP($A$4:$A$30,'[12]Anexo VII- CSC - SERV.'!$A$4:$F$38,6,)-(P13+Q13)</f>
        <v>-34268.479036912846</v>
      </c>
      <c r="S13" s="215"/>
      <c r="T13" s="220"/>
      <c r="U13" s="215">
        <f>VLOOKUP($A$4:$A$30,'[10]XI. Tarifas Bancárias'!$A$3:$D$33,4,)</f>
        <v>10169.6</v>
      </c>
      <c r="V13" s="220"/>
      <c r="W13" s="221">
        <f>VLOOKUP($A$4:$A$30,'[10]ANEXO I'!$A$5:$X$37,3,)</f>
        <v>5207</v>
      </c>
      <c r="X13" s="221">
        <f>VLOOKUP($A$4:$A$30,'[10]ANEXO I'!$A$5:$X$37,6,)</f>
        <v>4989</v>
      </c>
      <c r="Y13" s="222">
        <f>VLOOKUP($A$4:$A$30,'[10]ANEXO I'!$A$5:$X$37,12,)</f>
        <v>27.500501102425332</v>
      </c>
      <c r="Z13" s="221">
        <f>VLOOKUP($A$4:$A$30,'[10]ANEXO I'!$A$5:$X$37,15,)</f>
        <v>534</v>
      </c>
      <c r="AA13" s="222">
        <f>VLOOKUP($A$4:$A$30,'[10]ANEXO I'!$A$5:$X$37,21,)</f>
        <v>46.816479400749067</v>
      </c>
      <c r="AB13" s="221">
        <f>VLOOKUP($A$4:$A$30,'[10]ANEXO I'!$A$5:$X$37,24,)</f>
        <v>16853</v>
      </c>
      <c r="AC13" s="223"/>
      <c r="AD13" s="220">
        <f>VLOOKUP($A$4:$A$30,'[10]ANEXO X.II.Encontro de Contas'!$A$2:$D$32,4,)</f>
        <v>837.90000000000009</v>
      </c>
      <c r="AE13" s="223"/>
      <c r="AF13" s="220">
        <f>VLOOKUP($A$4:$A$30,'[13]Demonstrativos 2022'!$A$6:$Y$32,25,)</f>
        <v>3259254.46</v>
      </c>
      <c r="AG13" s="220"/>
      <c r="AH13" s="225">
        <v>8791688</v>
      </c>
      <c r="AJ13" s="233" t="s">
        <v>62</v>
      </c>
      <c r="AK13" s="213">
        <f>VLOOKUP($AK$2,'Diretrizes - Resumo'!$A$4:$I$30,9,)</f>
        <v>249783.74</v>
      </c>
      <c r="AP13" s="228"/>
      <c r="AQ13" s="229"/>
      <c r="AR13" s="229"/>
      <c r="AS13" s="229"/>
      <c r="AT13" s="229"/>
      <c r="AU13" s="229"/>
      <c r="AV13" s="229"/>
      <c r="AW13" s="229"/>
      <c r="AX13" s="229"/>
    </row>
    <row r="14" spans="1:50" ht="16.2" thickBot="1" x14ac:dyDescent="0.35">
      <c r="A14" s="214" t="s">
        <v>552</v>
      </c>
      <c r="B14" s="215">
        <f>VLOOKUP($A$4:$A$30,'[10]ANEXO III Anexo IX (100 e 80%)'!$AV$6:$CJ$36,7,)</f>
        <v>553804.51</v>
      </c>
      <c r="C14" s="215">
        <f>VLOOKUP($A$4:$A$30,'[10]ANEXO III Anexo IX (100 e 80%)'!$AV$6:$CJ$36,8,)</f>
        <v>200329.79</v>
      </c>
      <c r="D14" s="215">
        <f t="shared" si="0"/>
        <v>754134.3</v>
      </c>
      <c r="E14" s="215">
        <f>VLOOKUP($A$4:$A$30,'[10]ANEXO III Anexo IX (100 e 80%)'!$AV$6:$CJ$36,17,)</f>
        <v>35139.99</v>
      </c>
      <c r="F14" s="215">
        <f>VLOOKUP($A$4:$A$30,'[10]ANEXO III Anexo IX (100 e 80%)'!$AV$6:$CJ$36,18,)</f>
        <v>52136.429999999993</v>
      </c>
      <c r="G14" s="215">
        <f t="shared" si="1"/>
        <v>87276.419999999984</v>
      </c>
      <c r="H14" s="215">
        <f>VLOOKUP($A$4:$A$30,'[10]ANEXO III Anexo IX (100 e 80%)'!$AV$6:$CJ$36,25,)</f>
        <v>705915.17999999993</v>
      </c>
      <c r="I14" s="215">
        <f>VLOOKUP($A$4:$A$30,'[10]ANEXO III Anexo IX (100 e 80%)'!$AV$6:$CJ$36,31,)</f>
        <v>77189.91</v>
      </c>
      <c r="J14" s="216">
        <f t="shared" si="2"/>
        <v>1624515.8099999998</v>
      </c>
      <c r="K14" s="217">
        <f>J14-VLOOKUP(A14:A40,'[10]ANEXO III Anexo IX (100 e 80%)'!$AV$6:$CL$36,43,)</f>
        <v>0</v>
      </c>
      <c r="L14" s="215">
        <f>VLOOKUP($A$4:$A$30,'[10]Anexo IX.I-Aporte do FA'!$A$4:$C$30,3,)</f>
        <v>8506.1069247566193</v>
      </c>
      <c r="M14" s="215">
        <f>IFERROR(VLOOKUP($A$4:$A$30,'[11]Anexo VI-Repasse Fundo de Apoio'!$A$4:$G$13,7,),)</f>
        <v>21640</v>
      </c>
      <c r="N14" s="215">
        <f>IFERROR(VLOOKUP($A$4:$A$30,'[10]Anexo IX-Repasse Fundo de Apoio'!$A$4:$C$23,3,),)</f>
        <v>148803.84</v>
      </c>
      <c r="O14" s="218"/>
      <c r="P14" s="215">
        <f>VLOOKUP($A$4:$A$30,'[10]ANEXO X.CSC Total'!$A$3:$E$33,5,)</f>
        <v>105920.44</v>
      </c>
      <c r="Q14" s="215">
        <f>VLOOKUP($A$4:$A$30,'[10]ANEXO X.CSC Total'!$A$3:$C$35,3,)+VLOOKUP($A$4:$A$30,'[10]ANEXO X.CSC Total'!$A$3:$E$33,4,)</f>
        <v>15218.5981840519</v>
      </c>
      <c r="R14" s="219">
        <f>VLOOKUP($A$4:$A$30,'[12]Anexo VII- CSC - SERV.'!$A$4:$F$38,6,)-(P14+Q14)</f>
        <v>-12400.17872411017</v>
      </c>
      <c r="S14" s="215"/>
      <c r="T14" s="220"/>
      <c r="U14" s="215">
        <f>VLOOKUP($A$4:$A$30,'[10]XI. Tarifas Bancárias'!$A$3:$D$33,4,)</f>
        <v>4644.5200000000004</v>
      </c>
      <c r="V14" s="220"/>
      <c r="W14" s="221">
        <f>VLOOKUP($A$4:$A$30,'[10]ANEXO I'!$A$5:$X$37,3,)</f>
        <v>2443</v>
      </c>
      <c r="X14" s="221">
        <f>VLOOKUP($A$4:$A$30,'[10]ANEXO I'!$A$5:$X$37,6,)</f>
        <v>2409</v>
      </c>
      <c r="Y14" s="222">
        <f>VLOOKUP($A$4:$A$30,'[10]ANEXO I'!$A$5:$X$37,12,)</f>
        <v>36.488169364881692</v>
      </c>
      <c r="Z14" s="221">
        <f>VLOOKUP($A$4:$A$30,'[10]ANEXO I'!$A$5:$X$37,15,)</f>
        <v>362</v>
      </c>
      <c r="AA14" s="222">
        <f>VLOOKUP($A$4:$A$30,'[10]ANEXO I'!$A$5:$X$37,21,)</f>
        <v>66.574585635359114</v>
      </c>
      <c r="AB14" s="221">
        <f>VLOOKUP($A$4:$A$30,'[10]ANEXO I'!$A$5:$X$37,24,)</f>
        <v>7661</v>
      </c>
      <c r="AC14" s="223"/>
      <c r="AD14" s="220">
        <f>VLOOKUP($A$4:$A$30,'[10]ANEXO X.II.Encontro de Contas'!$A$2:$D$32,4,)</f>
        <v>110.84</v>
      </c>
      <c r="AE14" s="223"/>
      <c r="AF14" s="220">
        <f>VLOOKUP($A$4:$A$30,'[13]Demonstrativos 2022'!$A$6:$Y$32,25,)</f>
        <v>209765.15000000002</v>
      </c>
      <c r="AG14" s="220"/>
      <c r="AH14" s="225">
        <v>6775152</v>
      </c>
      <c r="AJ14" s="233" t="s">
        <v>13</v>
      </c>
      <c r="AK14" s="234"/>
      <c r="AP14" s="228"/>
      <c r="AQ14" s="229"/>
      <c r="AR14" s="229"/>
      <c r="AS14" s="229"/>
      <c r="AT14" s="229"/>
      <c r="AU14" s="229"/>
      <c r="AV14" s="229"/>
      <c r="AW14" s="229"/>
      <c r="AX14" s="229"/>
    </row>
    <row r="15" spans="1:50" ht="16.2" thickBot="1" x14ac:dyDescent="0.35">
      <c r="A15" s="214" t="s">
        <v>553</v>
      </c>
      <c r="B15" s="215">
        <f>VLOOKUP($A$4:$A$30,'[10]ANEXO III Anexo IX (100 e 80%)'!$AV$6:$CJ$36,7,)</f>
        <v>851823.53</v>
      </c>
      <c r="C15" s="215">
        <f>VLOOKUP($A$4:$A$30,'[10]ANEXO III Anexo IX (100 e 80%)'!$AV$6:$CJ$36,8,)</f>
        <v>246269.59</v>
      </c>
      <c r="D15" s="215">
        <f t="shared" si="0"/>
        <v>1098093.1200000001</v>
      </c>
      <c r="E15" s="215">
        <f>VLOOKUP($A$4:$A$30,'[10]ANEXO III Anexo IX (100 e 80%)'!$AV$6:$CJ$36,17,)</f>
        <v>41493.14</v>
      </c>
      <c r="F15" s="215">
        <f>VLOOKUP($A$4:$A$30,'[10]ANEXO III Anexo IX (100 e 80%)'!$AV$6:$CJ$36,18,)</f>
        <v>45067.28</v>
      </c>
      <c r="G15" s="215">
        <f t="shared" si="1"/>
        <v>86560.42</v>
      </c>
      <c r="H15" s="215">
        <f>VLOOKUP($A$4:$A$30,'[10]ANEXO III Anexo IX (100 e 80%)'!$AV$6:$CJ$36,25,)</f>
        <v>1108400.1800000002</v>
      </c>
      <c r="I15" s="215">
        <f>VLOOKUP($A$4:$A$30,'[10]ANEXO III Anexo IX (100 e 80%)'!$AV$6:$CJ$36,31,)</f>
        <v>126196.13</v>
      </c>
      <c r="J15" s="216">
        <f t="shared" si="2"/>
        <v>2419249.85</v>
      </c>
      <c r="K15" s="217">
        <f>J15-VLOOKUP(A15:A41,'[10]ANEXO III Anexo IX (100 e 80%)'!$AV$6:$CL$36,43,)</f>
        <v>0</v>
      </c>
      <c r="L15" s="215">
        <f>VLOOKUP($A$4:$A$30,'[10]Anexo IX.I-Aporte do FA'!$A$4:$C$30,3,)</f>
        <v>31839.548451415096</v>
      </c>
      <c r="M15" s="215">
        <f>IFERROR(VLOOKUP($A$4:$A$30,'[11]Anexo VI-Repasse Fundo de Apoio'!$A$4:$G$13,7,),)</f>
        <v>0</v>
      </c>
      <c r="N15" s="215">
        <f>IFERROR(VLOOKUP($A$4:$A$30,'[10]Anexo IX-Repasse Fundo de Apoio'!$A$4:$C$23,3,),)</f>
        <v>0</v>
      </c>
      <c r="O15" s="218"/>
      <c r="P15" s="215">
        <f>VLOOKUP($A$4:$A$30,'[10]ANEXO X.CSC Total'!$A$3:$E$33,5,)</f>
        <v>156537.24</v>
      </c>
      <c r="Q15" s="215">
        <f>VLOOKUP($A$4:$A$30,'[10]ANEXO X.CSC Total'!$A$3:$C$35,3,)+VLOOKUP($A$4:$A$30,'[10]ANEXO X.CSC Total'!$A$3:$E$33,4,)</f>
        <v>22910.913633803004</v>
      </c>
      <c r="R15" s="219">
        <f>VLOOKUP($A$4:$A$30,'[12]Anexo VII- CSC - SERV.'!$A$4:$F$38,6,)-(P15+Q15)</f>
        <v>-4518.5326958046062</v>
      </c>
      <c r="S15" s="215"/>
      <c r="T15" s="220"/>
      <c r="U15" s="215">
        <f>VLOOKUP($A$4:$A$30,'[10]XI. Tarifas Bancárias'!$A$3:$D$33,4,)</f>
        <v>9876.4</v>
      </c>
      <c r="V15" s="220"/>
      <c r="W15" s="221">
        <f>VLOOKUP($A$4:$A$30,'[10]ANEXO I'!$A$5:$X$37,3,)</f>
        <v>3430</v>
      </c>
      <c r="X15" s="221">
        <f>VLOOKUP($A$4:$A$30,'[10]ANEXO I'!$A$5:$X$37,6,)</f>
        <v>3342</v>
      </c>
      <c r="Y15" s="222">
        <f>VLOOKUP($A$4:$A$30,'[10]ANEXO I'!$A$5:$X$37,12,)</f>
        <v>27.97725912627169</v>
      </c>
      <c r="Z15" s="221">
        <f>VLOOKUP($A$4:$A$30,'[10]ANEXO I'!$A$5:$X$37,15,)</f>
        <v>508</v>
      </c>
      <c r="AA15" s="222">
        <f>VLOOKUP($A$4:$A$30,'[10]ANEXO I'!$A$5:$X$37,21,)</f>
        <v>70.472440944881896</v>
      </c>
      <c r="AB15" s="221">
        <f>VLOOKUP($A$4:$A$30,'[10]ANEXO I'!$A$5:$X$37,24,)</f>
        <v>12029</v>
      </c>
      <c r="AC15" s="223"/>
      <c r="AD15" s="220">
        <f>VLOOKUP($A$4:$A$30,'[10]ANEXO X.II.Encontro de Contas'!$A$2:$D$32,4,)</f>
        <v>592.66000000000008</v>
      </c>
      <c r="AE15" s="223"/>
      <c r="AF15" s="220">
        <f>VLOOKUP($A$4:$A$30,'[13]Demonstrativos 2022'!$A$6:$Y$32,25,)</f>
        <v>2516148.48</v>
      </c>
      <c r="AG15" s="220"/>
      <c r="AH15" s="225">
        <v>3974495</v>
      </c>
      <c r="AJ15" s="233" t="s">
        <v>157</v>
      </c>
      <c r="AK15" s="235">
        <f>VLOOKUP($AK$2,'Diretrizes - Resumo'!$A$4:$U$30,21,)</f>
        <v>15534.21</v>
      </c>
      <c r="AP15" s="228"/>
      <c r="AQ15" s="229"/>
      <c r="AR15" s="229"/>
      <c r="AS15" s="229"/>
      <c r="AT15" s="229"/>
      <c r="AU15" s="229"/>
      <c r="AV15" s="229"/>
      <c r="AW15" s="229"/>
      <c r="AX15" s="229"/>
    </row>
    <row r="16" spans="1:50" ht="16.2" thickBot="1" x14ac:dyDescent="0.35">
      <c r="A16" s="214" t="s">
        <v>258</v>
      </c>
      <c r="B16" s="215">
        <f>VLOOKUP($A$4:$A$30,'[10]ANEXO III Anexo IX (100 e 80%)'!$AV$6:$CJ$36,7,)</f>
        <v>1545773.47</v>
      </c>
      <c r="C16" s="215">
        <f>VLOOKUP($A$4:$A$30,'[10]ANEXO III Anexo IX (100 e 80%)'!$AV$6:$CJ$36,8,)</f>
        <v>436191.44</v>
      </c>
      <c r="D16" s="215">
        <f t="shared" si="0"/>
        <v>1981964.91</v>
      </c>
      <c r="E16" s="215">
        <f>VLOOKUP($A$4:$A$30,'[10]ANEXO III Anexo IX (100 e 80%)'!$AV$6:$CJ$36,17,)</f>
        <v>87856.819999999992</v>
      </c>
      <c r="F16" s="215">
        <f>VLOOKUP($A$4:$A$30,'[10]ANEXO III Anexo IX (100 e 80%)'!$AV$6:$CJ$36,18,)</f>
        <v>44731.5</v>
      </c>
      <c r="G16" s="215">
        <f t="shared" si="1"/>
        <v>132588.32</v>
      </c>
      <c r="H16" s="215">
        <f>VLOOKUP($A$4:$A$30,'[10]ANEXO III Anexo IX (100 e 80%)'!$AV$6:$CJ$36,25,)</f>
        <v>1896415.6600000001</v>
      </c>
      <c r="I16" s="215">
        <f>VLOOKUP($A$4:$A$30,'[10]ANEXO III Anexo IX (100 e 80%)'!$AV$6:$CJ$36,31,)</f>
        <v>189770.9</v>
      </c>
      <c r="J16" s="216">
        <f t="shared" si="2"/>
        <v>4200739.79</v>
      </c>
      <c r="K16" s="217">
        <f>J16-VLOOKUP(A16:A42,'[10]ANEXO III Anexo IX (100 e 80%)'!$AV$6:$CL$36,43,)</f>
        <v>0</v>
      </c>
      <c r="L16" s="215">
        <f>VLOOKUP($A$4:$A$30,'[10]Anexo IX.I-Aporte do FA'!$A$4:$C$30,3,)</f>
        <v>60836.584012120846</v>
      </c>
      <c r="M16" s="215">
        <f>IFERROR(VLOOKUP($A$4:$A$30,'[11]Anexo VI-Repasse Fundo de Apoio'!$A$4:$G$13,7,),)</f>
        <v>0</v>
      </c>
      <c r="N16" s="215">
        <f>IFERROR(VLOOKUP($A$4:$A$30,'[10]Anexo IX-Repasse Fundo de Apoio'!$A$4:$C$23,3,),)</f>
        <v>0</v>
      </c>
      <c r="O16" s="218"/>
      <c r="P16" s="215">
        <f>VLOOKUP($A$4:$A$30,'[10]ANEXO X.CSC Total'!$A$3:$E$33,5,)</f>
        <v>266365.46000000002</v>
      </c>
      <c r="Q16" s="215">
        <f>VLOOKUP($A$4:$A$30,'[10]ANEXO X.CSC Total'!$A$3:$C$35,3,)+VLOOKUP($A$4:$A$30,'[10]ANEXO X.CSC Total'!$A$3:$E$33,4,)</f>
        <v>38906.468944749329</v>
      </c>
      <c r="R16" s="219">
        <f>VLOOKUP($A$4:$A$30,'[12]Anexo VII- CSC - SERV.'!$A$4:$F$38,6,)-(P16+Q16)</f>
        <v>7607.004252237326</v>
      </c>
      <c r="S16" s="215"/>
      <c r="T16" s="220"/>
      <c r="U16" s="215">
        <f>VLOOKUP($A$4:$A$30,'[10]XI. Tarifas Bancárias'!$A$3:$D$33,4,)</f>
        <v>15727.35</v>
      </c>
      <c r="V16" s="220"/>
      <c r="W16" s="221">
        <f>VLOOKUP($A$4:$A$30,'[10]ANEXO I'!$A$5:$X$37,3,)</f>
        <v>6003</v>
      </c>
      <c r="X16" s="221">
        <f>VLOOKUP($A$4:$A$30,'[10]ANEXO I'!$A$5:$X$37,6,)</f>
        <v>5502</v>
      </c>
      <c r="Y16" s="222">
        <f>VLOOKUP($A$4:$A$30,'[10]ANEXO I'!$A$5:$X$37,12,)</f>
        <v>24.009451108687756</v>
      </c>
      <c r="Z16" s="221">
        <f>VLOOKUP($A$4:$A$30,'[10]ANEXO I'!$A$5:$X$37,15,)</f>
        <v>651</v>
      </c>
      <c r="AA16" s="222">
        <f>VLOOKUP($A$4:$A$30,'[10]ANEXO I'!$A$5:$X$37,21,)</f>
        <v>43.625192012288785</v>
      </c>
      <c r="AB16" s="221">
        <f>VLOOKUP($A$4:$A$30,'[10]ANEXO I'!$A$5:$X$37,24,)</f>
        <v>20581</v>
      </c>
      <c r="AC16" s="223"/>
      <c r="AD16" s="220">
        <f>VLOOKUP($A$4:$A$30,'[10]ANEXO X.II.Encontro de Contas'!$A$2:$D$32,4,)</f>
        <v>1580.44</v>
      </c>
      <c r="AE16" s="223"/>
      <c r="AF16" s="220">
        <f>VLOOKUP($A$4:$A$30,'[13]Demonstrativos 2022'!$A$6:$Y$32,25,)</f>
        <v>1782606.69</v>
      </c>
      <c r="AG16" s="220"/>
      <c r="AH16" s="225">
        <v>9058155</v>
      </c>
      <c r="AJ16" s="233" t="s">
        <v>14</v>
      </c>
      <c r="AK16" s="235">
        <f>VLOOKUP($AK$2,'Diretrizes - Resumo'!$A$4:$N$30,14,)</f>
        <v>0</v>
      </c>
      <c r="AP16" s="228"/>
      <c r="AQ16" s="229"/>
      <c r="AR16" s="229"/>
      <c r="AS16" s="229"/>
      <c r="AT16" s="229"/>
      <c r="AU16" s="229"/>
      <c r="AV16" s="229"/>
      <c r="AW16" s="229"/>
      <c r="AX16" s="229"/>
    </row>
    <row r="17" spans="1:50" ht="16.2" thickBot="1" x14ac:dyDescent="0.35">
      <c r="A17" s="214" t="s">
        <v>554</v>
      </c>
      <c r="B17" s="215">
        <f>VLOOKUP($A$4:$A$30,'[10]ANEXO III Anexo IX (100 e 80%)'!$AV$6:$CJ$36,7,)</f>
        <v>471166.87</v>
      </c>
      <c r="C17" s="215">
        <f>VLOOKUP($A$4:$A$30,'[10]ANEXO III Anexo IX (100 e 80%)'!$AV$6:$CJ$36,8,)</f>
        <v>122187.19</v>
      </c>
      <c r="D17" s="215">
        <f t="shared" si="0"/>
        <v>593354.06000000006</v>
      </c>
      <c r="E17" s="215">
        <f>VLOOKUP($A$4:$A$30,'[10]ANEXO III Anexo IX (100 e 80%)'!$AV$6:$CJ$36,17,)</f>
        <v>39067.86</v>
      </c>
      <c r="F17" s="215">
        <f>VLOOKUP($A$4:$A$30,'[10]ANEXO III Anexo IX (100 e 80%)'!$AV$6:$CJ$36,18,)</f>
        <v>50103.200000000004</v>
      </c>
      <c r="G17" s="215">
        <f t="shared" si="1"/>
        <v>89171.06</v>
      </c>
      <c r="H17" s="215">
        <f>VLOOKUP($A$4:$A$30,'[10]ANEXO III Anexo IX (100 e 80%)'!$AV$6:$CJ$36,25,)</f>
        <v>548164.66</v>
      </c>
      <c r="I17" s="215">
        <f>VLOOKUP($A$4:$A$30,'[10]ANEXO III Anexo IX (100 e 80%)'!$AV$6:$CJ$36,31,)</f>
        <v>55767.039999999994</v>
      </c>
      <c r="J17" s="216">
        <f t="shared" si="2"/>
        <v>1286456.8200000003</v>
      </c>
      <c r="K17" s="217">
        <f>J17-VLOOKUP(A17:A43,'[10]ANEXO III Anexo IX (100 e 80%)'!$AV$6:$CL$36,43,)</f>
        <v>0</v>
      </c>
      <c r="L17" s="215">
        <f>VLOOKUP($A$4:$A$30,'[10]Anexo IX.I-Aporte do FA'!$A$4:$C$30,3,)</f>
        <v>7281.3887423445667</v>
      </c>
      <c r="M17" s="215">
        <f>IFERROR(VLOOKUP($A$4:$A$30,'[11]Anexo VI-Repasse Fundo de Apoio'!$A$4:$G$13,7,),)</f>
        <v>20840</v>
      </c>
      <c r="N17" s="215">
        <f>IFERROR(VLOOKUP($A$4:$A$30,'[10]Anexo IX-Repasse Fundo de Apoio'!$A$4:$C$23,3,),)</f>
        <v>203702.21900000016</v>
      </c>
      <c r="O17" s="218"/>
      <c r="P17" s="215">
        <f>VLOOKUP($A$4:$A$30,'[10]ANEXO X.CSC Total'!$A$3:$E$33,5,)</f>
        <v>78621.45</v>
      </c>
      <c r="Q17" s="215">
        <f>VLOOKUP($A$4:$A$30,'[10]ANEXO X.CSC Total'!$A$3:$C$35,3,)+VLOOKUP($A$4:$A$30,'[10]ANEXO X.CSC Total'!$A$3:$E$33,4,)</f>
        <v>11265.14415599066</v>
      </c>
      <c r="R17" s="219">
        <f>VLOOKUP($A$4:$A$30,'[12]Anexo VII- CSC - SERV.'!$A$4:$F$38,6,)-(P17+Q17)</f>
        <v>-363.45381941914093</v>
      </c>
      <c r="S17" s="215"/>
      <c r="T17" s="220"/>
      <c r="U17" s="215">
        <f>VLOOKUP($A$4:$A$30,'[10]XI. Tarifas Bancárias'!$A$3:$D$33,4,)</f>
        <v>3780.88</v>
      </c>
      <c r="V17" s="220"/>
      <c r="W17" s="221">
        <f>VLOOKUP($A$4:$A$30,'[10]ANEXO I'!$A$5:$X$37,3,)</f>
        <v>1704</v>
      </c>
      <c r="X17" s="221">
        <f>VLOOKUP($A$4:$A$30,'[10]ANEXO I'!$A$5:$X$37,6,)</f>
        <v>1656</v>
      </c>
      <c r="Y17" s="222">
        <f>VLOOKUP($A$4:$A$30,'[10]ANEXO I'!$A$5:$X$37,12,)</f>
        <v>23.248792270531411</v>
      </c>
      <c r="Z17" s="221">
        <f>VLOOKUP($A$4:$A$30,'[10]ANEXO I'!$A$5:$X$37,15,)</f>
        <v>363</v>
      </c>
      <c r="AA17" s="222">
        <f>VLOOKUP($A$4:$A$30,'[10]ANEXO I'!$A$5:$X$37,21,)</f>
        <v>50.413223140495866</v>
      </c>
      <c r="AB17" s="221">
        <f>VLOOKUP($A$4:$A$30,'[10]ANEXO I'!$A$5:$X$37,24,)</f>
        <v>5949</v>
      </c>
      <c r="AC17" s="223"/>
      <c r="AD17" s="220">
        <f>VLOOKUP($A$4:$A$30,'[10]ANEXO X.II.Encontro de Contas'!$A$2:$D$32,4,)</f>
        <v>23.97</v>
      </c>
      <c r="AE17" s="223"/>
      <c r="AF17" s="220">
        <f>VLOOKUP($A$4:$A$30,'[13]Demonstrativos 2022'!$A$6:$Y$32,25,)</f>
        <v>54950.860000000015</v>
      </c>
      <c r="AG17" s="220"/>
      <c r="AH17" s="225">
        <v>3269200</v>
      </c>
      <c r="AJ17" s="236"/>
      <c r="AK17" s="237"/>
      <c r="AP17" s="228"/>
      <c r="AQ17" s="229"/>
      <c r="AR17" s="229"/>
      <c r="AS17" s="229"/>
      <c r="AT17" s="229"/>
      <c r="AU17" s="229"/>
      <c r="AV17" s="229"/>
      <c r="AW17" s="229"/>
      <c r="AX17" s="229"/>
    </row>
    <row r="18" spans="1:50" ht="16.2" thickBot="1" x14ac:dyDescent="0.35">
      <c r="A18" s="214" t="s">
        <v>555</v>
      </c>
      <c r="B18" s="215">
        <f>VLOOKUP($A$4:$A$30,'[10]ANEXO III Anexo IX (100 e 80%)'!$AV$6:$CJ$36,7,)</f>
        <v>681172.95</v>
      </c>
      <c r="C18" s="215">
        <f>VLOOKUP($A$4:$A$30,'[10]ANEXO III Anexo IX (100 e 80%)'!$AV$6:$CJ$36,8,)</f>
        <v>301153.13</v>
      </c>
      <c r="D18" s="215">
        <f t="shared" si="0"/>
        <v>982326.08</v>
      </c>
      <c r="E18" s="215">
        <f>VLOOKUP($A$4:$A$30,'[10]ANEXO III Anexo IX (100 e 80%)'!$AV$6:$CJ$36,17,)</f>
        <v>27939.18</v>
      </c>
      <c r="F18" s="215">
        <f>VLOOKUP($A$4:$A$30,'[10]ANEXO III Anexo IX (100 e 80%)'!$AV$6:$CJ$36,18,)</f>
        <v>78827.66</v>
      </c>
      <c r="G18" s="215">
        <f t="shared" si="1"/>
        <v>106766.84</v>
      </c>
      <c r="H18" s="215">
        <f>VLOOKUP($A$4:$A$30,'[10]ANEXO III Anexo IX (100 e 80%)'!$AV$6:$CJ$36,25,)</f>
        <v>995984.5</v>
      </c>
      <c r="I18" s="215">
        <f>VLOOKUP($A$4:$A$30,'[10]ANEXO III Anexo IX (100 e 80%)'!$AV$6:$CJ$36,31,)</f>
        <v>108456.78</v>
      </c>
      <c r="J18" s="216">
        <f t="shared" si="2"/>
        <v>2193534.1999999997</v>
      </c>
      <c r="K18" s="217">
        <f>J18-VLOOKUP(A18:A44,'[10]ANEXO III Anexo IX (100 e 80%)'!$AV$6:$CL$36,43,)</f>
        <v>0</v>
      </c>
      <c r="L18" s="215">
        <f>VLOOKUP($A$4:$A$30,'[10]Anexo IX.I-Aporte do FA'!$A$4:$C$30,3,)</f>
        <v>29094.220065612964</v>
      </c>
      <c r="M18" s="215">
        <f>IFERROR(VLOOKUP($A$4:$A$30,'[11]Anexo VI-Repasse Fundo de Apoio'!$A$4:$G$13,7,),)</f>
        <v>0</v>
      </c>
      <c r="N18" s="215">
        <f>IFERROR(VLOOKUP($A$4:$A$30,'[10]Anexo IX-Repasse Fundo de Apoio'!$A$4:$C$23,3,),)</f>
        <v>0</v>
      </c>
      <c r="O18" s="218"/>
      <c r="P18" s="215">
        <f>VLOOKUP($A$4:$A$30,'[10]ANEXO X.CSC Total'!$A$3:$E$33,5,)</f>
        <v>137300.35</v>
      </c>
      <c r="Q18" s="215">
        <f>VLOOKUP($A$4:$A$30,'[10]ANEXO X.CSC Total'!$A$3:$C$35,3,)+VLOOKUP($A$4:$A$30,'[10]ANEXO X.CSC Total'!$A$3:$E$33,4,)</f>
        <v>20158.58904082339</v>
      </c>
      <c r="R18" s="219">
        <f>VLOOKUP($A$4:$A$30,'[12]Anexo VII- CSC - SERV.'!$A$4:$F$38,6,)-(P18+Q18)</f>
        <v>11771.976462358813</v>
      </c>
      <c r="S18" s="215">
        <v>0</v>
      </c>
      <c r="T18" s="220"/>
      <c r="U18" s="215">
        <f>VLOOKUP($A$4:$A$30,'[10]XI. Tarifas Bancárias'!$A$3:$D$33,4,)</f>
        <v>8573.42</v>
      </c>
      <c r="V18" s="220"/>
      <c r="W18" s="221">
        <f>VLOOKUP($A$4:$A$30,'[10]ANEXO I'!$A$5:$X$37,3,)</f>
        <v>2938</v>
      </c>
      <c r="X18" s="221">
        <f>VLOOKUP($A$4:$A$30,'[10]ANEXO I'!$A$5:$X$37,6,)</f>
        <v>2827</v>
      </c>
      <c r="Y18" s="222">
        <f>VLOOKUP($A$4:$A$30,'[10]ANEXO I'!$A$5:$X$37,12,)</f>
        <v>34.311991510435092</v>
      </c>
      <c r="Z18" s="221">
        <f>VLOOKUP($A$4:$A$30,'[10]ANEXO I'!$A$5:$X$37,15,)</f>
        <v>351</v>
      </c>
      <c r="AA18" s="222">
        <f>VLOOKUP($A$4:$A$30,'[10]ANEXO I'!$A$5:$X$37,21,)</f>
        <v>68.0911680911681</v>
      </c>
      <c r="AB18" s="221">
        <f>VLOOKUP($A$4:$A$30,'[10]ANEXO I'!$A$5:$X$37,24,)</f>
        <v>10809</v>
      </c>
      <c r="AC18" s="223"/>
      <c r="AD18" s="220">
        <f>VLOOKUP($A$4:$A$30,'[10]ANEXO X.II.Encontro de Contas'!$A$2:$D$32,4,)</f>
        <v>805.71</v>
      </c>
      <c r="AE18" s="223"/>
      <c r="AF18" s="220">
        <f>VLOOKUP($A$4:$A$30,'[13]Demonstrativos 2022'!$A$6:$Y$32,25,)</f>
        <v>1271164.96</v>
      </c>
      <c r="AG18" s="220"/>
      <c r="AH18" s="225">
        <v>3302406</v>
      </c>
      <c r="AJ18" s="529" t="s">
        <v>556</v>
      </c>
      <c r="AK18" s="530"/>
      <c r="AP18" s="228"/>
      <c r="AQ18" s="229"/>
      <c r="AR18" s="229"/>
      <c r="AS18" s="229"/>
      <c r="AT18" s="229"/>
      <c r="AU18" s="229"/>
      <c r="AV18" s="229"/>
      <c r="AW18" s="229"/>
      <c r="AX18" s="229"/>
    </row>
    <row r="19" spans="1:50" ht="16.2" thickBot="1" x14ac:dyDescent="0.35">
      <c r="A19" s="214" t="s">
        <v>557</v>
      </c>
      <c r="B19" s="215">
        <f>VLOOKUP($A$4:$A$30,'[10]ANEXO III Anexo IX (100 e 80%)'!$AV$6:$CJ$36,7,)</f>
        <v>468754.51</v>
      </c>
      <c r="C19" s="215">
        <f>VLOOKUP($A$4:$A$30,'[10]ANEXO III Anexo IX (100 e 80%)'!$AV$6:$CJ$36,8,)</f>
        <v>125494.82</v>
      </c>
      <c r="D19" s="215">
        <f t="shared" si="0"/>
        <v>594249.33000000007</v>
      </c>
      <c r="E19" s="215">
        <f>VLOOKUP($A$4:$A$30,'[10]ANEXO III Anexo IX (100 e 80%)'!$AV$6:$CJ$36,17,)</f>
        <v>22963.95</v>
      </c>
      <c r="F19" s="215">
        <f>VLOOKUP($A$4:$A$30,'[10]ANEXO III Anexo IX (100 e 80%)'!$AV$6:$CJ$36,18,)</f>
        <v>18618.580000000002</v>
      </c>
      <c r="G19" s="215">
        <f t="shared" si="1"/>
        <v>41582.53</v>
      </c>
      <c r="H19" s="215">
        <f>VLOOKUP($A$4:$A$30,'[10]ANEXO III Anexo IX (100 e 80%)'!$AV$6:$CJ$36,25,)</f>
        <v>847816.94</v>
      </c>
      <c r="I19" s="215">
        <f>VLOOKUP($A$4:$A$30,'[10]ANEXO III Anexo IX (100 e 80%)'!$AV$6:$CJ$36,31,)</f>
        <v>70462.97</v>
      </c>
      <c r="J19" s="216">
        <f t="shared" si="2"/>
        <v>1554111.77</v>
      </c>
      <c r="K19" s="217">
        <f>J19-VLOOKUP(A19:A45,'[10]ANEXO III Anexo IX (100 e 80%)'!$AV$6:$CL$36,43,)</f>
        <v>0</v>
      </c>
      <c r="L19" s="215">
        <f>VLOOKUP($A$4:$A$30,'[10]Anexo IX.I-Aporte do FA'!$A$4:$C$30,3,)</f>
        <v>7989.5957105676971</v>
      </c>
      <c r="M19" s="215">
        <f>IFERROR(VLOOKUP($A$4:$A$30,'[11]Anexo VI-Repasse Fundo de Apoio'!$A$4:$G$13,7,),)</f>
        <v>17240</v>
      </c>
      <c r="N19" s="215">
        <f>IFERROR(VLOOKUP($A$4:$A$30,'[10]Anexo IX-Repasse Fundo de Apoio'!$A$4:$C$23,3,),)</f>
        <v>136294.87</v>
      </c>
      <c r="O19" s="218"/>
      <c r="P19" s="215">
        <f>VLOOKUP($A$4:$A$30,'[10]ANEXO X.CSC Total'!$A$3:$E$33,5,)</f>
        <v>98796.46</v>
      </c>
      <c r="Q19" s="215">
        <f>VLOOKUP($A$4:$A$30,'[10]ANEXO X.CSC Total'!$A$3:$C$35,3,)+VLOOKUP($A$4:$A$30,'[10]ANEXO X.CSC Total'!$A$3:$E$33,4,)</f>
        <v>14316.711812214537</v>
      </c>
      <c r="R19" s="219">
        <f>VLOOKUP($A$4:$A$30,'[12]Anexo VII- CSC - SERV.'!$A$4:$F$38,6,)-(P19+Q19)</f>
        <v>-8961.1843383564265</v>
      </c>
      <c r="S19" s="215"/>
      <c r="T19" s="220"/>
      <c r="U19" s="215">
        <f>VLOOKUP($A$4:$A$30,'[10]XI. Tarifas Bancárias'!$A$3:$D$33,4,)</f>
        <v>5057.88</v>
      </c>
      <c r="V19" s="220"/>
      <c r="W19" s="221">
        <f>VLOOKUP($A$4:$A$30,'[10]ANEXO I'!$A$5:$X$37,3,)</f>
        <v>1783</v>
      </c>
      <c r="X19" s="221">
        <f>VLOOKUP($A$4:$A$30,'[10]ANEXO I'!$A$5:$X$37,6,)</f>
        <v>1744</v>
      </c>
      <c r="Y19" s="222">
        <f>VLOOKUP($A$4:$A$30,'[10]ANEXO I'!$A$5:$X$37,12,)</f>
        <v>27.12155963302753</v>
      </c>
      <c r="Z19" s="221">
        <f>VLOOKUP($A$4:$A$30,'[10]ANEXO I'!$A$5:$X$37,15,)</f>
        <v>205</v>
      </c>
      <c r="AA19" s="222">
        <f>VLOOKUP($A$4:$A$30,'[10]ANEXO I'!$A$5:$X$37,21,)</f>
        <v>45.365853658536579</v>
      </c>
      <c r="AB19" s="221">
        <f>VLOOKUP($A$4:$A$30,'[10]ANEXO I'!$A$5:$X$37,24,)</f>
        <v>9201</v>
      </c>
      <c r="AC19" s="223"/>
      <c r="AD19" s="220">
        <f>VLOOKUP($A$4:$A$30,'[10]ANEXO X.II.Encontro de Contas'!$A$2:$D$32,4,)</f>
        <v>292.99</v>
      </c>
      <c r="AE19" s="223"/>
      <c r="AF19" s="220">
        <f>VLOOKUP($A$4:$A$30,'[13]Demonstrativos 2022'!$A$6:$Y$32,25,)</f>
        <v>728228.2699999999</v>
      </c>
      <c r="AG19" s="220"/>
      <c r="AH19" s="225">
        <v>2209558</v>
      </c>
      <c r="AJ19" s="238" t="s">
        <v>558</v>
      </c>
      <c r="AK19" s="239">
        <f>VLOOKUP($AK$2,'Diretrizes - Resumo'!$A$4:$AB$30,23,)</f>
        <v>7920</v>
      </c>
      <c r="AP19" s="228"/>
      <c r="AQ19" s="229"/>
      <c r="AR19" s="229"/>
      <c r="AS19" s="229"/>
      <c r="AT19" s="229"/>
      <c r="AU19" s="229"/>
      <c r="AV19" s="229"/>
      <c r="AW19" s="229"/>
      <c r="AX19" s="229"/>
    </row>
    <row r="20" spans="1:50" ht="16.2" thickBot="1" x14ac:dyDescent="0.35">
      <c r="A20" s="214" t="s">
        <v>559</v>
      </c>
      <c r="B20" s="215">
        <f>VLOOKUP($A$4:$A$30,'[10]ANEXO III Anexo IX (100 e 80%)'!$AV$6:$CJ$36,7,)</f>
        <v>1815701.04</v>
      </c>
      <c r="C20" s="215">
        <f>VLOOKUP($A$4:$A$30,'[10]ANEXO III Anexo IX (100 e 80%)'!$AV$6:$CJ$36,8,)</f>
        <v>518039.89</v>
      </c>
      <c r="D20" s="215">
        <f t="shared" si="0"/>
        <v>2333740.9300000002</v>
      </c>
      <c r="E20" s="215">
        <f>VLOOKUP($A$4:$A$30,'[10]ANEXO III Anexo IX (100 e 80%)'!$AV$6:$CJ$36,17,)</f>
        <v>109476.06999999999</v>
      </c>
      <c r="F20" s="215">
        <f>VLOOKUP($A$4:$A$30,'[10]ANEXO III Anexo IX (100 e 80%)'!$AV$6:$CJ$36,18,)</f>
        <v>72866.77</v>
      </c>
      <c r="G20" s="215">
        <f t="shared" si="1"/>
        <v>182342.84</v>
      </c>
      <c r="H20" s="215">
        <f>VLOOKUP($A$4:$A$30,'[10]ANEXO III Anexo IX (100 e 80%)'!$AV$6:$CJ$36,25,)</f>
        <v>1658684.1400000001</v>
      </c>
      <c r="I20" s="215">
        <f>VLOOKUP($A$4:$A$30,'[10]ANEXO III Anexo IX (100 e 80%)'!$AV$6:$CJ$36,31,)</f>
        <v>233989.87</v>
      </c>
      <c r="J20" s="216">
        <f t="shared" si="2"/>
        <v>4408757.78</v>
      </c>
      <c r="K20" s="217">
        <f>J20-VLOOKUP(A20:A46,'[10]ANEXO III Anexo IX (100 e 80%)'!$AV$6:$CL$36,43,)</f>
        <v>0</v>
      </c>
      <c r="L20" s="215">
        <f>VLOOKUP($A$4:$A$30,'[10]Anexo IX.I-Aporte do FA'!$A$4:$C$30,3,)</f>
        <v>62772.108479586139</v>
      </c>
      <c r="M20" s="215">
        <f>IFERROR(VLOOKUP($A$4:$A$30,'[11]Anexo VI-Repasse Fundo de Apoio'!$A$4:$G$13,7,),)</f>
        <v>0</v>
      </c>
      <c r="N20" s="215">
        <f>IFERROR(VLOOKUP($A$4:$A$30,'[10]Anexo IX-Repasse Fundo de Apoio'!$A$4:$C$23,3,),)</f>
        <v>0</v>
      </c>
      <c r="O20" s="218"/>
      <c r="P20" s="215">
        <f>VLOOKUP($A$4:$A$30,'[10]ANEXO X.CSC Total'!$A$3:$E$33,5,)</f>
        <v>278241.81</v>
      </c>
      <c r="Q20" s="215">
        <f>VLOOKUP($A$4:$A$30,'[10]ANEXO X.CSC Total'!$A$3:$C$35,3,)+VLOOKUP($A$4:$A$30,'[10]ANEXO X.CSC Total'!$A$3:$E$33,4,)</f>
        <v>43077.038181979842</v>
      </c>
      <c r="R20" s="219">
        <f>VLOOKUP($A$4:$A$30,'[12]Anexo VII- CSC - SERV.'!$A$4:$F$38,6,)-(P20+Q20)</f>
        <v>33483.698727151437</v>
      </c>
      <c r="S20" s="215"/>
      <c r="T20" s="220"/>
      <c r="U20" s="215">
        <f>VLOOKUP($A$4:$A$30,'[10]XI. Tarifas Bancárias'!$A$3:$D$33,4,)</f>
        <v>17129.16</v>
      </c>
      <c r="V20" s="220"/>
      <c r="W20" s="221">
        <f>VLOOKUP($A$4:$A$30,'[10]ANEXO I'!$A$5:$X$37,3,)</f>
        <v>6924</v>
      </c>
      <c r="X20" s="221">
        <f>VLOOKUP($A$4:$A$30,'[10]ANEXO I'!$A$5:$X$37,6,)</f>
        <v>6352</v>
      </c>
      <c r="Y20" s="222">
        <f>VLOOKUP($A$4:$A$30,'[10]ANEXO I'!$A$5:$X$37,12,)</f>
        <v>25.488035264483628</v>
      </c>
      <c r="Z20" s="221">
        <f>VLOOKUP($A$4:$A$30,'[10]ANEXO I'!$A$5:$X$37,15,)</f>
        <v>898</v>
      </c>
      <c r="AA20" s="222">
        <f>VLOOKUP($A$4:$A$30,'[10]ANEXO I'!$A$5:$X$37,21,)</f>
        <v>48.886414253897549</v>
      </c>
      <c r="AB20" s="221">
        <f>VLOOKUP($A$4:$A$30,'[10]ANEXO I'!$A$5:$X$37,24,)</f>
        <v>18001</v>
      </c>
      <c r="AC20" s="223"/>
      <c r="AD20" s="220">
        <f>VLOOKUP($A$4:$A$30,'[10]ANEXO X.II.Encontro de Contas'!$A$2:$D$32,4,)</f>
        <v>5554.35</v>
      </c>
      <c r="AE20" s="223"/>
      <c r="AF20" s="220">
        <f>VLOOKUP($A$4:$A$30,'[13]Demonstrativos 2022'!$A$6:$Y$32,25,)</f>
        <v>1748489.97</v>
      </c>
      <c r="AG20" s="220"/>
      <c r="AH20" s="225">
        <v>2817068</v>
      </c>
      <c r="AJ20" s="238" t="s">
        <v>560</v>
      </c>
      <c r="AK20" s="239">
        <f>VLOOKUP($AK$2,'Diretrizes - Resumo'!$A$4:$AB$30,24,)</f>
        <v>7051</v>
      </c>
      <c r="AP20" s="228"/>
      <c r="AQ20" s="229"/>
      <c r="AR20" s="229"/>
      <c r="AS20" s="229"/>
      <c r="AT20" s="229"/>
      <c r="AU20" s="229"/>
      <c r="AV20" s="229"/>
      <c r="AW20" s="229"/>
      <c r="AX20" s="229"/>
    </row>
    <row r="21" spans="1:50" ht="16.2" thickBot="1" x14ac:dyDescent="0.35">
      <c r="A21" s="214" t="s">
        <v>561</v>
      </c>
      <c r="B21" s="215">
        <f>VLOOKUP($A$4:$A$30,'[10]ANEXO III Anexo IX (100 e 80%)'!$AV$6:$CJ$36,7,)</f>
        <v>1468107.0699999998</v>
      </c>
      <c r="C21" s="215">
        <f>VLOOKUP($A$4:$A$30,'[10]ANEXO III Anexo IX (100 e 80%)'!$AV$6:$CJ$36,8,)</f>
        <v>445852.92</v>
      </c>
      <c r="D21" s="215">
        <f t="shared" si="0"/>
        <v>1913959.9899999998</v>
      </c>
      <c r="E21" s="215">
        <f>VLOOKUP($A$4:$A$30,'[10]ANEXO III Anexo IX (100 e 80%)'!$AV$6:$CJ$36,17,)</f>
        <v>78177.899999999994</v>
      </c>
      <c r="F21" s="215">
        <f>VLOOKUP($A$4:$A$30,'[10]ANEXO III Anexo IX (100 e 80%)'!$AV$6:$CJ$36,18,)</f>
        <v>70472.510000000009</v>
      </c>
      <c r="G21" s="215">
        <f t="shared" si="1"/>
        <v>148650.41</v>
      </c>
      <c r="H21" s="215">
        <f>VLOOKUP($A$4:$A$30,'[10]ANEXO III Anexo IX (100 e 80%)'!$AV$6:$CJ$36,25,)</f>
        <v>2992284.2600000002</v>
      </c>
      <c r="I21" s="215">
        <f>VLOOKUP($A$4:$A$30,'[10]ANEXO III Anexo IX (100 e 80%)'!$AV$6:$CJ$36,31,)</f>
        <v>236482.71000000002</v>
      </c>
      <c r="J21" s="216">
        <f t="shared" si="2"/>
        <v>5291377.37</v>
      </c>
      <c r="K21" s="217">
        <f>J21-VLOOKUP(A21:A47,'[10]ANEXO III Anexo IX (100 e 80%)'!$AV$6:$CL$36,43,)</f>
        <v>0</v>
      </c>
      <c r="L21" s="215">
        <f>VLOOKUP($A$4:$A$30,'[10]Anexo IX.I-Aporte do FA'!$A$4:$C$30,3,)</f>
        <v>71888.610308980627</v>
      </c>
      <c r="M21" s="215">
        <f>IFERROR(VLOOKUP($A$4:$A$30,'[11]Anexo VI-Repasse Fundo de Apoio'!$A$4:$G$13,7,),)</f>
        <v>0</v>
      </c>
      <c r="N21" s="215">
        <f>IFERROR(VLOOKUP($A$4:$A$30,'[10]Anexo IX-Repasse Fundo de Apoio'!$A$4:$C$23,3,),)</f>
        <v>0</v>
      </c>
      <c r="O21" s="218"/>
      <c r="P21" s="215">
        <f>VLOOKUP($A$4:$A$30,'[10]ANEXO X.CSC Total'!$A$3:$E$33,5,)</f>
        <v>337890.1</v>
      </c>
      <c r="Q21" s="215">
        <f>VLOOKUP($A$4:$A$30,'[10]ANEXO X.CSC Total'!$A$3:$C$35,3,)+VLOOKUP($A$4:$A$30,'[10]ANEXO X.CSC Total'!$A$3:$E$33,4,)</f>
        <v>49253.739866176758</v>
      </c>
      <c r="R21" s="219">
        <f>VLOOKUP($A$4:$A$30,'[12]Anexo VII- CSC - SERV.'!$A$4:$F$38,6,)-(P21+Q21)</f>
        <v>18604.502384171821</v>
      </c>
      <c r="S21" s="215"/>
      <c r="T21" s="220"/>
      <c r="U21" s="215">
        <f>VLOOKUP($A$4:$A$30,'[10]XI. Tarifas Bancárias'!$A$3:$D$33,4,)</f>
        <v>23277.54</v>
      </c>
      <c r="V21" s="220"/>
      <c r="W21" s="221">
        <f>VLOOKUP($A$4:$A$30,'[10]ANEXO I'!$A$5:$X$37,3,)</f>
        <v>5648</v>
      </c>
      <c r="X21" s="221">
        <f>VLOOKUP($A$4:$A$30,'[10]ANEXO I'!$A$5:$X$37,6,)</f>
        <v>5397</v>
      </c>
      <c r="Y21" s="222">
        <f>VLOOKUP($A$4:$A$30,'[10]ANEXO I'!$A$5:$X$37,12,)</f>
        <v>27.793218454697055</v>
      </c>
      <c r="Z21" s="221">
        <f>VLOOKUP($A$4:$A$30,'[10]ANEXO I'!$A$5:$X$37,15,)</f>
        <v>846</v>
      </c>
      <c r="AA21" s="222">
        <f>VLOOKUP($A$4:$A$30,'[10]ANEXO I'!$A$5:$X$37,21,)</f>
        <v>54.137115839243499</v>
      </c>
      <c r="AB21" s="221">
        <f>VLOOKUP($A$4:$A$30,'[10]ANEXO I'!$A$5:$X$37,24,)</f>
        <v>32474</v>
      </c>
      <c r="AC21" s="223"/>
      <c r="AD21" s="220">
        <f>VLOOKUP($A$4:$A$30,'[10]ANEXO X.II.Encontro de Contas'!$A$2:$D$32,4,)</f>
        <v>1239.22</v>
      </c>
      <c r="AE21" s="223"/>
      <c r="AF21" s="220">
        <f>VLOOKUP($A$4:$A$30,'[13]Demonstrativos 2022'!$A$6:$Y$32,25,)</f>
        <v>4409011.09</v>
      </c>
      <c r="AG21" s="220"/>
      <c r="AH21" s="225">
        <v>7055228</v>
      </c>
      <c r="AJ21" s="240" t="s">
        <v>562</v>
      </c>
      <c r="AK21" s="241">
        <f>VLOOKUP($AK$2,'Diretrizes - Resumo'!$A$4:$AB$30,25,)</f>
        <v>28.180399943270459</v>
      </c>
      <c r="AP21" s="228"/>
      <c r="AQ21" s="229"/>
      <c r="AR21" s="229"/>
      <c r="AS21" s="229"/>
      <c r="AT21" s="229"/>
      <c r="AU21" s="229"/>
      <c r="AV21" s="229"/>
      <c r="AW21" s="229"/>
      <c r="AX21" s="229"/>
    </row>
    <row r="22" spans="1:50" ht="16.2" thickBot="1" x14ac:dyDescent="0.35">
      <c r="A22" s="214" t="s">
        <v>563</v>
      </c>
      <c r="B22" s="215">
        <f>VLOOKUP($A$4:$A$30,'[10]ANEXO III Anexo IX (100 e 80%)'!$AV$6:$CJ$36,7,)</f>
        <v>943598.26</v>
      </c>
      <c r="C22" s="215">
        <f>VLOOKUP($A$4:$A$30,'[10]ANEXO III Anexo IX (100 e 80%)'!$AV$6:$CJ$36,8,)</f>
        <v>360969.36</v>
      </c>
      <c r="D22" s="215">
        <f t="shared" si="0"/>
        <v>1304567.6200000001</v>
      </c>
      <c r="E22" s="215">
        <f>VLOOKUP($A$4:$A$30,'[10]ANEXO III Anexo IX (100 e 80%)'!$AV$6:$CJ$36,17,)</f>
        <v>63572.59</v>
      </c>
      <c r="F22" s="215">
        <f>VLOOKUP($A$4:$A$30,'[10]ANEXO III Anexo IX (100 e 80%)'!$AV$6:$CJ$36,18,)</f>
        <v>75171.22</v>
      </c>
      <c r="G22" s="215">
        <f t="shared" si="1"/>
        <v>138743.81</v>
      </c>
      <c r="H22" s="215">
        <f>VLOOKUP($A$4:$A$30,'[10]ANEXO III Anexo IX (100 e 80%)'!$AV$6:$CJ$36,25,)</f>
        <v>1962851.4900000002</v>
      </c>
      <c r="I22" s="215">
        <f>VLOOKUP($A$4:$A$30,'[10]ANEXO III Anexo IX (100 e 80%)'!$AV$6:$CJ$36,31,)</f>
        <v>184160.28</v>
      </c>
      <c r="J22" s="216">
        <f t="shared" si="2"/>
        <v>3590323.2</v>
      </c>
      <c r="K22" s="217">
        <f>J22-VLOOKUP(A22:A48,'[10]ANEXO III Anexo IX (100 e 80%)'!$AV$6:$CL$36,43,)</f>
        <v>0</v>
      </c>
      <c r="L22" s="215">
        <f>VLOOKUP($A$4:$A$30,'[10]Anexo IX.I-Aporte do FA'!$A$4:$C$30,3,)</f>
        <v>51608.825125193689</v>
      </c>
      <c r="M22" s="215">
        <f>IFERROR(VLOOKUP($A$4:$A$30,'[11]Anexo VI-Repasse Fundo de Apoio'!$A$4:$G$13,7,),)</f>
        <v>0</v>
      </c>
      <c r="N22" s="215">
        <f>IFERROR(VLOOKUP($A$4:$A$30,'[10]Anexo IX-Repasse Fundo de Apoio'!$A$4:$C$23,3,),)</f>
        <v>0</v>
      </c>
      <c r="O22" s="218"/>
      <c r="P22" s="215">
        <f>VLOOKUP($A$4:$A$30,'[10]ANEXO X.CSC Total'!$A$3:$E$33,5,)</f>
        <v>226820.31</v>
      </c>
      <c r="Q22" s="215">
        <f>VLOOKUP($A$4:$A$30,'[10]ANEXO X.CSC Total'!$A$3:$C$35,3,)+VLOOKUP($A$4:$A$30,'[10]ANEXO X.CSC Total'!$A$3:$E$33,4,)</f>
        <v>32879.183854914976</v>
      </c>
      <c r="R22" s="219">
        <f>VLOOKUP($A$4:$A$30,'[12]Anexo VII- CSC - SERV.'!$A$4:$F$38,6,)-(P22+Q22)</f>
        <v>26630.988485546783</v>
      </c>
      <c r="S22" s="215">
        <v>0</v>
      </c>
      <c r="T22" s="220"/>
      <c r="U22" s="215">
        <f>VLOOKUP($A$4:$A$30,'[10]XI. Tarifas Bancárias'!$A$3:$D$33,4,)</f>
        <v>16315.96</v>
      </c>
      <c r="V22" s="220"/>
      <c r="W22" s="221">
        <f>VLOOKUP($A$4:$A$30,'[10]ANEXO I'!$A$5:$X$37,3,)</f>
        <v>3808</v>
      </c>
      <c r="X22" s="221">
        <f>VLOOKUP($A$4:$A$30,'[10]ANEXO I'!$A$5:$X$37,6,)</f>
        <v>3694</v>
      </c>
      <c r="Y22" s="222">
        <f>VLOOKUP($A$4:$A$30,'[10]ANEXO I'!$A$5:$X$37,12,)</f>
        <v>35.868976719003783</v>
      </c>
      <c r="Z22" s="221">
        <f>VLOOKUP($A$4:$A$30,'[10]ANEXO I'!$A$5:$X$37,15,)</f>
        <v>748</v>
      </c>
      <c r="AA22" s="222">
        <f>VLOOKUP($A$4:$A$30,'[10]ANEXO I'!$A$5:$X$37,21,)</f>
        <v>60.026737967914443</v>
      </c>
      <c r="AB22" s="221">
        <f>VLOOKUP($A$4:$A$30,'[10]ANEXO I'!$A$5:$X$37,24,)</f>
        <v>21302</v>
      </c>
      <c r="AC22" s="223"/>
      <c r="AD22" s="220">
        <f>VLOOKUP($A$4:$A$30,'[10]ANEXO X.II.Encontro de Contas'!$A$2:$D$32,4,)</f>
        <v>730.74</v>
      </c>
      <c r="AE22" s="223"/>
      <c r="AF22" s="220">
        <f>VLOOKUP($A$4:$A$30,'[13]Demonstrativos 2022'!$A$6:$Y$32,25,)</f>
        <v>1846216.87</v>
      </c>
      <c r="AG22" s="220"/>
      <c r="AH22" s="225">
        <v>2756700</v>
      </c>
      <c r="AJ22" s="226" t="s">
        <v>564</v>
      </c>
      <c r="AK22" s="239">
        <f>VLOOKUP($AK$2,'Diretrizes - Resumo'!$A$4:$AB$30,26,)</f>
        <v>1136</v>
      </c>
      <c r="AP22" s="228"/>
      <c r="AQ22" s="229"/>
      <c r="AR22" s="229"/>
      <c r="AS22" s="229"/>
      <c r="AT22" s="229"/>
      <c r="AU22" s="229"/>
      <c r="AV22" s="229"/>
      <c r="AW22" s="229"/>
      <c r="AX22" s="229"/>
    </row>
    <row r="23" spans="1:50" ht="16.2" thickBot="1" x14ac:dyDescent="0.35">
      <c r="A23" s="214" t="s">
        <v>565</v>
      </c>
      <c r="B23" s="215">
        <f>VLOOKUP($A$4:$A$30,'[10]ANEXO III Anexo IX (100 e 80%)'!$AV$6:$CJ$36,7,)</f>
        <v>1089866.8799999999</v>
      </c>
      <c r="C23" s="215">
        <f>VLOOKUP($A$4:$A$30,'[10]ANEXO III Anexo IX (100 e 80%)'!$AV$6:$CJ$36,8,)</f>
        <v>256175.96</v>
      </c>
      <c r="D23" s="215">
        <f t="shared" si="0"/>
        <v>1346042.8399999999</v>
      </c>
      <c r="E23" s="215">
        <f>VLOOKUP($A$4:$A$30,'[10]ANEXO III Anexo IX (100 e 80%)'!$AV$6:$CJ$36,17,)</f>
        <v>99828.09</v>
      </c>
      <c r="F23" s="215">
        <f>VLOOKUP($A$4:$A$30,'[10]ANEXO III Anexo IX (100 e 80%)'!$AV$6:$CJ$36,18,)</f>
        <v>53270.6</v>
      </c>
      <c r="G23" s="215">
        <f t="shared" si="1"/>
        <v>153098.69</v>
      </c>
      <c r="H23" s="215">
        <f>VLOOKUP($A$4:$A$30,'[10]ANEXO III Anexo IX (100 e 80%)'!$AV$6:$CJ$36,25,)</f>
        <v>3053836.45</v>
      </c>
      <c r="I23" s="215">
        <f>VLOOKUP($A$4:$A$30,'[10]ANEXO III Anexo IX (100 e 80%)'!$AV$6:$CJ$36,31,)</f>
        <v>131424.65</v>
      </c>
      <c r="J23" s="216">
        <f t="shared" si="2"/>
        <v>4684402.6300000008</v>
      </c>
      <c r="K23" s="217">
        <f>J23-VLOOKUP(A23:A49,'[10]ANEXO III Anexo IX (100 e 80%)'!$AV$6:$CL$36,43,)</f>
        <v>0</v>
      </c>
      <c r="L23" s="215">
        <f>VLOOKUP($A$4:$A$30,'[10]Anexo IX.I-Aporte do FA'!$A$4:$C$30,3,)</f>
        <v>69018.741794943315</v>
      </c>
      <c r="M23" s="215">
        <f>IFERROR(VLOOKUP($A$4:$A$30,'[11]Anexo VI-Repasse Fundo de Apoio'!$A$4:$G$13,7,),)</f>
        <v>0</v>
      </c>
      <c r="N23" s="215">
        <f>IFERROR(VLOOKUP($A$4:$A$30,'[10]Anexo IX-Repasse Fundo de Apoio'!$A$4:$C$23,3,),)</f>
        <v>0</v>
      </c>
      <c r="O23" s="218"/>
      <c r="P23" s="215">
        <f>VLOOKUP($A$4:$A$30,'[10]ANEXO X.CSC Total'!$A$3:$E$33,5,)</f>
        <v>296322.15999999997</v>
      </c>
      <c r="Q23" s="215">
        <f>VLOOKUP($A$4:$A$30,'[10]ANEXO X.CSC Total'!$A$3:$C$35,3,)+VLOOKUP($A$4:$A$30,'[10]ANEXO X.CSC Total'!$A$3:$E$33,4,)</f>
        <v>43180.015904645858</v>
      </c>
      <c r="R23" s="219">
        <f>VLOOKUP($A$4:$A$30,'[12]Anexo VII- CSC - SERV.'!$A$4:$F$38,6,)-(P23+Q23)</f>
        <v>52617.901682257769</v>
      </c>
      <c r="S23" s="215"/>
      <c r="T23" s="220"/>
      <c r="U23" s="215">
        <f>VLOOKUP($A$4:$A$30,'[10]XI. Tarifas Bancárias'!$A$3:$D$33,4,)</f>
        <v>21389.29</v>
      </c>
      <c r="V23" s="220"/>
      <c r="W23" s="221">
        <f>VLOOKUP($A$4:$A$30,'[10]ANEXO I'!$A$5:$X$37,3,)</f>
        <v>3795</v>
      </c>
      <c r="X23" s="221">
        <f>VLOOKUP($A$4:$A$30,'[10]ANEXO I'!$A$5:$X$37,6,)</f>
        <v>3722</v>
      </c>
      <c r="Y23" s="222">
        <f>VLOOKUP($A$4:$A$30,'[10]ANEXO I'!$A$5:$X$37,12,)</f>
        <v>23.105857066093492</v>
      </c>
      <c r="Z23" s="221">
        <f>VLOOKUP($A$4:$A$30,'[10]ANEXO I'!$A$5:$X$37,15,)</f>
        <v>813</v>
      </c>
      <c r="AA23" s="222">
        <f>VLOOKUP($A$4:$A$30,'[10]ANEXO I'!$A$5:$X$37,21,)</f>
        <v>49.692496924969255</v>
      </c>
      <c r="AB23" s="221">
        <f>VLOOKUP($A$4:$A$30,'[10]ANEXO I'!$A$5:$X$37,24,)</f>
        <v>33142</v>
      </c>
      <c r="AC23" s="223"/>
      <c r="AD23" s="220">
        <f>VLOOKUP($A$4:$A$30,'[10]ANEXO X.II.Encontro de Contas'!$A$2:$D$32,4,)</f>
        <v>1426.41</v>
      </c>
      <c r="AE23" s="223"/>
      <c r="AF23" s="220">
        <f>VLOOKUP($A$4:$A$30,'[13]Demonstrativos 2022'!$A$6:$Y$32,25,)</f>
        <v>2007665.18</v>
      </c>
      <c r="AG23" s="220"/>
      <c r="AH23" s="225">
        <v>3658813</v>
      </c>
      <c r="AJ23" s="226" t="s">
        <v>566</v>
      </c>
      <c r="AK23" s="241">
        <f>VLOOKUP($AK$2,'Diretrizes - Resumo'!$A$4:$AB$30,27,)</f>
        <v>55.281690140845072</v>
      </c>
      <c r="AP23" s="228"/>
      <c r="AQ23" s="229"/>
      <c r="AR23" s="229"/>
      <c r="AS23" s="229"/>
      <c r="AT23" s="229"/>
      <c r="AU23" s="229"/>
      <c r="AV23" s="229"/>
      <c r="AW23" s="229"/>
      <c r="AX23" s="229"/>
    </row>
    <row r="24" spans="1:50" ht="16.2" thickBot="1" x14ac:dyDescent="0.35">
      <c r="A24" s="214" t="s">
        <v>567</v>
      </c>
      <c r="B24" s="215">
        <f>VLOOKUP($A$4:$A$30,'[10]ANEXO III Anexo IX (100 e 80%)'!$AV$6:$CJ$36,7,)</f>
        <v>1491783.79</v>
      </c>
      <c r="C24" s="215">
        <f>VLOOKUP($A$4:$A$30,'[10]ANEXO III Anexo IX (100 e 80%)'!$AV$6:$CJ$36,8,)</f>
        <v>183413.59999999998</v>
      </c>
      <c r="D24" s="215">
        <f t="shared" si="0"/>
        <v>1675197.3900000001</v>
      </c>
      <c r="E24" s="215">
        <f>VLOOKUP($A$4:$A$30,'[10]ANEXO III Anexo IX (100 e 80%)'!$AV$6:$CJ$36,17,)</f>
        <v>91062.03</v>
      </c>
      <c r="F24" s="215">
        <f>VLOOKUP($A$4:$A$30,'[10]ANEXO III Anexo IX (100 e 80%)'!$AV$6:$CJ$36,18,)</f>
        <v>29498.61</v>
      </c>
      <c r="G24" s="215">
        <f t="shared" si="1"/>
        <v>120560.64</v>
      </c>
      <c r="H24" s="215">
        <f>VLOOKUP($A$4:$A$30,'[10]ANEXO III Anexo IX (100 e 80%)'!$AV$6:$CJ$36,25,)</f>
        <v>1619154.37</v>
      </c>
      <c r="I24" s="215">
        <f>VLOOKUP($A$4:$A$30,'[10]ANEXO III Anexo IX (100 e 80%)'!$AV$6:$CJ$36,31,)</f>
        <v>141611.32</v>
      </c>
      <c r="J24" s="216">
        <f t="shared" si="2"/>
        <v>3556523.72</v>
      </c>
      <c r="K24" s="217">
        <f>J24-VLOOKUP(A24:A50,'[10]ANEXO III Anexo IX (100 e 80%)'!$AV$6:$CL$36,43,)</f>
        <v>0</v>
      </c>
      <c r="L24" s="215">
        <f>VLOOKUP($A$4:$A$30,'[10]Anexo IX.I-Aporte do FA'!$A$4:$C$30,3,)</f>
        <v>51061.489925045076</v>
      </c>
      <c r="M24" s="215">
        <f>IFERROR(VLOOKUP($A$4:$A$30,'[11]Anexo VI-Repasse Fundo de Apoio'!$A$4:$G$13,7,),)</f>
        <v>0</v>
      </c>
      <c r="N24" s="215">
        <f>IFERROR(VLOOKUP($A$4:$A$30,'[10]Anexo IX-Repasse Fundo de Apoio'!$A$4:$C$23,3,),)</f>
        <v>0</v>
      </c>
      <c r="O24" s="218"/>
      <c r="P24" s="215">
        <f>VLOOKUP($A$4:$A$30,'[10]ANEXO X.CSC Total'!$A$3:$E$33,5,)</f>
        <v>218682.95</v>
      </c>
      <c r="Q24" s="215">
        <f>VLOOKUP($A$4:$A$30,'[10]ANEXO X.CSC Total'!$A$3:$C$35,3,)+VLOOKUP($A$4:$A$30,'[10]ANEXO X.CSC Total'!$A$3:$E$33,4,)</f>
        <v>31763.876839108911</v>
      </c>
      <c r="R24" s="219">
        <f>VLOOKUP($A$4:$A$30,'[12]Anexo VII- CSC - SERV.'!$A$4:$F$38,6,)-(P24+Q24)</f>
        <v>24731.684940137813</v>
      </c>
      <c r="S24" s="215"/>
      <c r="T24" s="220"/>
      <c r="U24" s="215">
        <f>VLOOKUP($A$4:$A$30,'[10]XI. Tarifas Bancárias'!$A$3:$D$33,4,)</f>
        <v>13766.34</v>
      </c>
      <c r="V24" s="220"/>
      <c r="W24" s="221">
        <f>VLOOKUP($A$4:$A$30,'[10]ANEXO I'!$A$5:$X$37,3,)</f>
        <v>4367</v>
      </c>
      <c r="X24" s="221">
        <f>VLOOKUP($A$4:$A$30,'[10]ANEXO I'!$A$5:$X$37,6,)</f>
        <v>4263</v>
      </c>
      <c r="Y24" s="222">
        <f>VLOOKUP($A$4:$A$30,'[10]ANEXO I'!$A$5:$X$37,12,)</f>
        <v>7.5064508562045518</v>
      </c>
      <c r="Z24" s="221">
        <f>VLOOKUP($A$4:$A$30,'[10]ANEXO I'!$A$5:$X$37,15,)</f>
        <v>501</v>
      </c>
      <c r="AA24" s="222">
        <f>VLOOKUP($A$4:$A$30,'[10]ANEXO I'!$A$5:$X$37,21,)</f>
        <v>25.948103792415168</v>
      </c>
      <c r="AB24" s="221">
        <f>VLOOKUP($A$4:$A$30,'[10]ANEXO I'!$A$5:$X$37,24,)</f>
        <v>17572</v>
      </c>
      <c r="AC24" s="223"/>
      <c r="AD24" s="220">
        <f>VLOOKUP($A$4:$A$30,'[10]ANEXO X.II.Encontro de Contas'!$A$2:$D$32,4,)</f>
        <v>725.18999999999994</v>
      </c>
      <c r="AE24" s="223"/>
      <c r="AF24" s="220">
        <f>VLOOKUP($A$4:$A$30,'[13]Demonstrativos 2022'!$A$6:$Y$32,25,)</f>
        <v>568690.15</v>
      </c>
      <c r="AG24" s="220"/>
      <c r="AH24" s="225">
        <v>3833486</v>
      </c>
      <c r="AJ24" s="240" t="s">
        <v>568</v>
      </c>
      <c r="AK24" s="239">
        <f>VLOOKUP($AK$2,'Diretrizes - Resumo'!$A$4:$AB$30,28,)</f>
        <v>24786</v>
      </c>
      <c r="AP24" s="228"/>
      <c r="AQ24" s="229"/>
      <c r="AR24" s="229"/>
      <c r="AS24" s="229"/>
      <c r="AT24" s="229"/>
      <c r="AU24" s="229"/>
      <c r="AV24" s="229"/>
      <c r="AW24" s="229"/>
      <c r="AX24" s="229"/>
    </row>
    <row r="25" spans="1:50" ht="16.2" thickBot="1" x14ac:dyDescent="0.35">
      <c r="A25" s="214" t="s">
        <v>569</v>
      </c>
      <c r="B25" s="215">
        <f>VLOOKUP($A$4:$A$30,'[10]ANEXO III Anexo IX (100 e 80%)'!$AV$6:$CJ$36,7,)</f>
        <v>4963999.5999999996</v>
      </c>
      <c r="C25" s="215">
        <f>VLOOKUP($A$4:$A$30,'[10]ANEXO III Anexo IX (100 e 80%)'!$AV$6:$CJ$36,8,)</f>
        <v>1172826.76</v>
      </c>
      <c r="D25" s="215">
        <f t="shared" si="0"/>
        <v>6136826.3599999994</v>
      </c>
      <c r="E25" s="215">
        <f>VLOOKUP($A$4:$A$30,'[10]ANEXO III Anexo IX (100 e 80%)'!$AV$6:$CJ$36,17,)</f>
        <v>273501.31</v>
      </c>
      <c r="F25" s="215">
        <f>VLOOKUP($A$4:$A$30,'[10]ANEXO III Anexo IX (100 e 80%)'!$AV$6:$CJ$36,18,)</f>
        <v>227104.74</v>
      </c>
      <c r="G25" s="215">
        <f t="shared" si="1"/>
        <v>500606.05</v>
      </c>
      <c r="H25" s="215">
        <f>VLOOKUP($A$4:$A$30,'[10]ANEXO III Anexo IX (100 e 80%)'!$AV$6:$CJ$36,25,)</f>
        <v>5697632.0899999999</v>
      </c>
      <c r="I25" s="215">
        <f>VLOOKUP($A$4:$A$30,'[10]ANEXO III Anexo IX (100 e 80%)'!$AV$6:$CJ$36,31,)</f>
        <v>649937.68999999994</v>
      </c>
      <c r="J25" s="216">
        <f t="shared" si="2"/>
        <v>12985002.189999999</v>
      </c>
      <c r="K25" s="217">
        <f>J25-VLOOKUP(A25:A51,'[10]ANEXO III Anexo IX (100 e 80%)'!$AV$6:$CL$36,43,)</f>
        <v>0</v>
      </c>
      <c r="L25" s="215">
        <f>VLOOKUP($A$4:$A$30,'[10]Anexo IX.I-Aporte do FA'!$A$4:$C$30,3,)</f>
        <v>177637.14742876624</v>
      </c>
      <c r="M25" s="215">
        <f>IFERROR(VLOOKUP($A$4:$A$30,'[11]Anexo VI-Repasse Fundo de Apoio'!$A$4:$G$13,7,),)</f>
        <v>0</v>
      </c>
      <c r="N25" s="215">
        <f>IFERROR(VLOOKUP($A$4:$A$30,'[10]Anexo IX-Repasse Fundo de Apoio'!$A$4:$C$23,3,),)</f>
        <v>0</v>
      </c>
      <c r="O25" s="218"/>
      <c r="P25" s="215">
        <f>VLOOKUP($A$4:$A$30,'[10]ANEXO X.CSC Total'!$A$3:$E$33,5,)</f>
        <v>824524.99</v>
      </c>
      <c r="Q25" s="215">
        <f>VLOOKUP($A$4:$A$30,'[10]ANEXO X.CSC Total'!$A$3:$C$35,3,)+VLOOKUP($A$4:$A$30,'[10]ANEXO X.CSC Total'!$A$3:$E$33,4,)</f>
        <v>120307.24719141805</v>
      </c>
      <c r="R25" s="219">
        <f>VLOOKUP($A$4:$A$30,'[12]Anexo VII- CSC - SERV.'!$A$4:$F$38,6,)-(P25+Q25)</f>
        <v>62749.133823459386</v>
      </c>
      <c r="S25" s="215"/>
      <c r="T25" s="220"/>
      <c r="U25" s="215">
        <f>VLOOKUP($A$4:$A$30,'[10]XI. Tarifas Bancárias'!$A$3:$D$33,4,)</f>
        <v>54888.46</v>
      </c>
      <c r="V25" s="220"/>
      <c r="W25" s="221">
        <f>VLOOKUP($A$4:$A$30,'[10]ANEXO I'!$A$5:$X$37,3,)</f>
        <v>18651</v>
      </c>
      <c r="X25" s="221">
        <f>VLOOKUP($A$4:$A$30,'[10]ANEXO I'!$A$5:$X$37,6,)</f>
        <v>17850</v>
      </c>
      <c r="Y25" s="222">
        <f>VLOOKUP($A$4:$A$30,'[10]ANEXO I'!$A$5:$X$37,12,)</f>
        <v>24.896358543417364</v>
      </c>
      <c r="Z25" s="221">
        <f>VLOOKUP($A$4:$A$30,'[10]ANEXO I'!$A$5:$X$37,15,)</f>
        <v>2256</v>
      </c>
      <c r="AA25" s="222">
        <f>VLOOKUP($A$4:$A$30,'[10]ANEXO I'!$A$5:$X$37,21,)</f>
        <v>41.223404255319153</v>
      </c>
      <c r="AB25" s="221">
        <f>VLOOKUP($A$4:$A$30,'[10]ANEXO I'!$A$5:$X$37,24,)</f>
        <v>61834</v>
      </c>
      <c r="AC25" s="223"/>
      <c r="AD25" s="220">
        <f>VLOOKUP($A$4:$A$30,'[10]ANEXO X.II.Encontro de Contas'!$A$2:$D$32,4,)</f>
        <v>3901.0900000000006</v>
      </c>
      <c r="AE25" s="223"/>
      <c r="AF25" s="220">
        <f>VLOOKUP($A$4:$A$30,'[13]Demonstrativos 2022'!$A$6:$Y$32,25,)</f>
        <v>16972819.699999999</v>
      </c>
      <c r="AG25" s="220"/>
      <c r="AH25" s="225">
        <v>20538718</v>
      </c>
      <c r="AP25" s="228"/>
      <c r="AQ25" s="229"/>
      <c r="AR25" s="229"/>
      <c r="AS25" s="229"/>
      <c r="AT25" s="229"/>
      <c r="AU25" s="229"/>
      <c r="AV25" s="229"/>
      <c r="AW25" s="229"/>
      <c r="AX25" s="229"/>
    </row>
    <row r="26" spans="1:50" ht="16.2" thickBot="1" x14ac:dyDescent="0.35">
      <c r="A26" s="214" t="s">
        <v>570</v>
      </c>
      <c r="B26" s="215">
        <f>VLOOKUP($A$4:$A$30,'[10]ANEXO III Anexo IX (100 e 80%)'!$AV$6:$CJ$36,7,)</f>
        <v>4984781.66</v>
      </c>
      <c r="C26" s="215">
        <f>VLOOKUP($A$4:$A$30,'[10]ANEXO III Anexo IX (100 e 80%)'!$AV$6:$CJ$36,8,)</f>
        <v>1378049.3599999999</v>
      </c>
      <c r="D26" s="215">
        <f t="shared" si="0"/>
        <v>6362831.0199999996</v>
      </c>
      <c r="E26" s="215">
        <f>VLOOKUP($A$4:$A$30,'[10]ANEXO III Anexo IX (100 e 80%)'!$AV$6:$CJ$36,17,)</f>
        <v>395626.94</v>
      </c>
      <c r="F26" s="215">
        <f>VLOOKUP($A$4:$A$30,'[10]ANEXO III Anexo IX (100 e 80%)'!$AV$6:$CJ$36,18,)</f>
        <v>288813.88</v>
      </c>
      <c r="G26" s="215">
        <f t="shared" si="1"/>
        <v>684440.82000000007</v>
      </c>
      <c r="H26" s="215">
        <f>VLOOKUP($A$4:$A$30,'[10]ANEXO III Anexo IX (100 e 80%)'!$AV$6:$CJ$36,25,)</f>
        <v>6112280.0999999996</v>
      </c>
      <c r="I26" s="215">
        <f>VLOOKUP($A$4:$A$30,'[10]ANEXO III Anexo IX (100 e 80%)'!$AV$6:$CJ$36,31,)</f>
        <v>594424.03</v>
      </c>
      <c r="J26" s="216">
        <f t="shared" si="2"/>
        <v>13753975.969999999</v>
      </c>
      <c r="K26" s="217">
        <f>J26-VLOOKUP(A26:A52,'[10]ANEXO III Anexo IX (100 e 80%)'!$AV$6:$CL$36,43,)</f>
        <v>0</v>
      </c>
      <c r="L26" s="215">
        <f>VLOOKUP($A$4:$A$30,'[10]Anexo IX.I-Aporte do FA'!$A$4:$C$30,3,)</f>
        <v>188789.18558898367</v>
      </c>
      <c r="M26" s="215">
        <f>IFERROR(VLOOKUP($A$4:$A$30,'[11]Anexo VI-Repasse Fundo de Apoio'!$A$4:$G$13,7,),)</f>
        <v>0</v>
      </c>
      <c r="N26" s="215">
        <f>IFERROR(VLOOKUP($A$4:$A$30,'[10]Anexo IX-Repasse Fundo de Apoio'!$A$4:$C$23,3,),)</f>
        <v>0</v>
      </c>
      <c r="O26" s="218"/>
      <c r="P26" s="215">
        <f>VLOOKUP($A$4:$A$30,'[10]ANEXO X.CSC Total'!$A$3:$E$33,5,)</f>
        <v>917628.05</v>
      </c>
      <c r="Q26" s="215">
        <f>VLOOKUP($A$4:$A$30,'[10]ANEXO X.CSC Total'!$A$3:$C$35,3,)+VLOOKUP($A$4:$A$30,'[10]ANEXO X.CSC Total'!$A$3:$E$33,4,)</f>
        <v>136653.01732433689</v>
      </c>
      <c r="R26" s="219">
        <f>VLOOKUP($A$4:$A$30,'[12]Anexo VII- CSC - SERV.'!$A$4:$F$38,6,)-(P26+Q26)</f>
        <v>42004.17091186787</v>
      </c>
      <c r="S26" s="215"/>
      <c r="T26" s="220"/>
      <c r="U26" s="215">
        <f>VLOOKUP($A$4:$A$30,'[10]XI. Tarifas Bancárias'!$A$3:$D$33,4,)</f>
        <v>44650.48</v>
      </c>
      <c r="V26" s="220"/>
      <c r="W26" s="221">
        <f>VLOOKUP($A$4:$A$30,'[10]ANEXO I'!$A$5:$X$37,3,)</f>
        <v>22078</v>
      </c>
      <c r="X26" s="221">
        <f>VLOOKUP($A$4:$A$30,'[10]ANEXO I'!$A$5:$X$37,6,)</f>
        <v>18257</v>
      </c>
      <c r="Y26" s="222">
        <f>VLOOKUP($A$4:$A$30,'[10]ANEXO I'!$A$5:$X$37,12,)</f>
        <v>25.272498219860879</v>
      </c>
      <c r="Z26" s="221">
        <f>VLOOKUP($A$4:$A$30,'[10]ANEXO I'!$A$5:$X$37,15,)</f>
        <v>3085</v>
      </c>
      <c r="AA26" s="222">
        <f>VLOOKUP($A$4:$A$30,'[10]ANEXO I'!$A$5:$X$37,21,)</f>
        <v>48.622366288492699</v>
      </c>
      <c r="AB26" s="221">
        <f>VLOOKUP($A$4:$A$30,'[10]ANEXO I'!$A$5:$X$37,24,)</f>
        <v>66334</v>
      </c>
      <c r="AC26" s="223"/>
      <c r="AD26" s="220">
        <f>VLOOKUP($A$4:$A$30,'[10]ANEXO X.II.Encontro de Contas'!$A$2:$D$32,4,)</f>
        <v>10060.130000000001</v>
      </c>
      <c r="AE26" s="223"/>
      <c r="AF26" s="220">
        <f>VLOOKUP($A$4:$A$30,'[13]Demonstrativos 2022'!$A$6:$Y$32,25,)</f>
        <v>9115215.3300000001</v>
      </c>
      <c r="AG26" s="220"/>
      <c r="AH26" s="225">
        <v>16054524</v>
      </c>
      <c r="AJ26" s="529" t="s">
        <v>571</v>
      </c>
      <c r="AK26" s="530"/>
      <c r="AP26" s="228"/>
      <c r="AQ26" s="229"/>
      <c r="AR26" s="229"/>
      <c r="AS26" s="229"/>
      <c r="AT26" s="229"/>
      <c r="AU26" s="229"/>
      <c r="AV26" s="229"/>
      <c r="AW26" s="229"/>
      <c r="AX26" s="229"/>
    </row>
    <row r="27" spans="1:50" ht="16.2" thickBot="1" x14ac:dyDescent="0.35">
      <c r="A27" s="214" t="s">
        <v>572</v>
      </c>
      <c r="B27" s="215">
        <f>VLOOKUP($A$4:$A$30,'[10]ANEXO III Anexo IX (100 e 80%)'!$AV$6:$CJ$36,7,)</f>
        <v>18039125.27</v>
      </c>
      <c r="C27" s="215">
        <f>VLOOKUP($A$4:$A$30,'[10]ANEXO III Anexo IX (100 e 80%)'!$AV$6:$CJ$36,8,)</f>
        <v>5346566.38</v>
      </c>
      <c r="D27" s="215">
        <f t="shared" si="0"/>
        <v>23385691.649999999</v>
      </c>
      <c r="E27" s="215">
        <f>VLOOKUP($A$4:$A$30,'[10]ANEXO III Anexo IX (100 e 80%)'!$AV$6:$CJ$36,17,)</f>
        <v>1464737.21</v>
      </c>
      <c r="F27" s="215">
        <f>VLOOKUP($A$4:$A$30,'[10]ANEXO III Anexo IX (100 e 80%)'!$AV$6:$CJ$36,18,)</f>
        <v>686235.76</v>
      </c>
      <c r="G27" s="215">
        <f t="shared" si="1"/>
        <v>2150972.9699999997</v>
      </c>
      <c r="H27" s="215">
        <f>VLOOKUP($A$4:$A$30,'[10]ANEXO III Anexo IX (100 e 80%)'!$AV$6:$CJ$36,25,)</f>
        <v>30981853.549999997</v>
      </c>
      <c r="I27" s="215">
        <f>VLOOKUP($A$4:$A$30,'[10]ANEXO III Anexo IX (100 e 80%)'!$AV$6:$CJ$36,31,)</f>
        <v>2914657.67</v>
      </c>
      <c r="J27" s="216">
        <f t="shared" si="2"/>
        <v>59433175.839999996</v>
      </c>
      <c r="K27" s="217">
        <f>J27-VLOOKUP(A27:A53,'[10]ANEXO III Anexo IX (100 e 80%)'!$AV$6:$CL$36,43,)</f>
        <v>0</v>
      </c>
      <c r="L27" s="215">
        <f>VLOOKUP($A$4:$A$30,'[10]Anexo IX.I-Aporte do FA'!$A$4:$C$30,3,)</f>
        <v>831076.04685055313</v>
      </c>
      <c r="M27" s="215">
        <f>IFERROR(VLOOKUP($A$4:$A$30,'[11]Anexo VI-Repasse Fundo de Apoio'!$A$4:$G$13,7,),)</f>
        <v>0</v>
      </c>
      <c r="N27" s="215">
        <f>IFERROR(VLOOKUP($A$4:$A$30,'[10]Anexo IX-Repasse Fundo de Apoio'!$A$4:$C$23,3,),)</f>
        <v>0</v>
      </c>
      <c r="O27" s="218"/>
      <c r="P27" s="215">
        <f>VLOOKUP($A$4:$A$30,'[10]ANEXO X.CSC Total'!$A$3:$E$33,5,)</f>
        <v>3782816.28</v>
      </c>
      <c r="Q27" s="215">
        <f>VLOOKUP($A$4:$A$30,'[10]ANEXO X.CSC Total'!$A$3:$C$35,3,)+VLOOKUP($A$4:$A$30,'[10]ANEXO X.CSC Total'!$A$3:$E$33,4,)</f>
        <v>577195.15753230953</v>
      </c>
      <c r="R27" s="219">
        <f>VLOOKUP($A$4:$A$30,'[12]Anexo VII- CSC - SERV.'!$A$4:$F$38,6,)-(P27+Q27)</f>
        <v>453432.26051034685</v>
      </c>
      <c r="S27" s="215"/>
      <c r="T27" s="220"/>
      <c r="U27" s="215">
        <f>VLOOKUP($A$4:$A$30,'[10]XI. Tarifas Bancárias'!$A$3:$D$33,4,)</f>
        <v>223198.5</v>
      </c>
      <c r="V27" s="220"/>
      <c r="W27" s="221">
        <f>VLOOKUP($A$4:$A$30,'[10]ANEXO I'!$A$5:$X$37,3,)</f>
        <v>72832</v>
      </c>
      <c r="X27" s="221">
        <f>VLOOKUP($A$4:$A$30,'[10]ANEXO I'!$A$5:$X$37,6,)</f>
        <v>68004</v>
      </c>
      <c r="Y27" s="222">
        <f>VLOOKUP($A$4:$A$30,'[10]ANEXO I'!$A$5:$X$37,12,)</f>
        <v>25.844067996000234</v>
      </c>
      <c r="Z27" s="221">
        <f>VLOOKUP($A$4:$A$30,'[10]ANEXO I'!$A$5:$X$37,15,)</f>
        <v>8663</v>
      </c>
      <c r="AA27" s="222">
        <f>VLOOKUP($A$4:$A$30,'[10]ANEXO I'!$A$5:$X$37,21,)</f>
        <v>37.827542421793837</v>
      </c>
      <c r="AB27" s="221">
        <f>VLOOKUP($A$4:$A$30,'[10]ANEXO I'!$A$5:$X$37,24,)</f>
        <v>336233</v>
      </c>
      <c r="AC27" s="223"/>
      <c r="AD27" s="220">
        <f>VLOOKUP($A$4:$A$30,'[10]ANEXO X.II.Encontro de Contas'!$A$2:$D$32,4,)</f>
        <v>46368.94</v>
      </c>
      <c r="AE27" s="223"/>
      <c r="AF27" s="220">
        <f>VLOOKUP($A$4:$A$30,'[13]Demonstrativos 2022'!$A$6:$Y$32,25,)</f>
        <v>66232389.320000008</v>
      </c>
      <c r="AG27" s="220"/>
      <c r="AH27" s="225">
        <v>44420459</v>
      </c>
      <c r="AJ27" s="242" t="s">
        <v>573</v>
      </c>
      <c r="AK27" s="239">
        <f>VLOOKUP($AK$2,A4:AH30,34,)</f>
        <v>14136417</v>
      </c>
      <c r="AP27" s="228"/>
      <c r="AQ27" s="229"/>
      <c r="AR27" s="229"/>
      <c r="AS27" s="229"/>
      <c r="AT27" s="229"/>
      <c r="AU27" s="229"/>
      <c r="AV27" s="229"/>
      <c r="AW27" s="229"/>
      <c r="AX27" s="229"/>
    </row>
    <row r="28" spans="1:50" s="243" customFormat="1" ht="16.2" thickBot="1" x14ac:dyDescent="0.35">
      <c r="A28" s="214" t="s">
        <v>574</v>
      </c>
      <c r="B28" s="215">
        <f>VLOOKUP($A$4:$A$30,'[10]ANEXO III Anexo IX (100 e 80%)'!$AV$6:$CJ$36,7,)</f>
        <v>4107093.02</v>
      </c>
      <c r="C28" s="215">
        <f>VLOOKUP($A$4:$A$30,'[10]ANEXO III Anexo IX (100 e 80%)'!$AV$6:$CJ$36,8,)</f>
        <v>775754.28</v>
      </c>
      <c r="D28" s="215">
        <f t="shared" si="0"/>
        <v>4882847.3</v>
      </c>
      <c r="E28" s="215">
        <f>VLOOKUP($A$4:$A$30,'[10]ANEXO III Anexo IX (100 e 80%)'!$AV$6:$CJ$36,17,)</f>
        <v>450162.74</v>
      </c>
      <c r="F28" s="215">
        <f>VLOOKUP($A$4:$A$30,'[10]ANEXO III Anexo IX (100 e 80%)'!$AV$6:$CJ$36,18,)</f>
        <v>213511.14</v>
      </c>
      <c r="G28" s="215">
        <f t="shared" si="1"/>
        <v>663673.88</v>
      </c>
      <c r="H28" s="215">
        <f>VLOOKUP($A$4:$A$30,'[10]ANEXO III Anexo IX (100 e 80%)'!$AV$6:$CJ$36,25,)</f>
        <v>6832938.3200000003</v>
      </c>
      <c r="I28" s="215">
        <f>VLOOKUP($A$4:$A$30,'[10]ANEXO III Anexo IX (100 e 80%)'!$AV$6:$CJ$36,31,)</f>
        <v>470689.22</v>
      </c>
      <c r="J28" s="216">
        <f t="shared" si="2"/>
        <v>12850148.720000001</v>
      </c>
      <c r="K28" s="217">
        <f>J28-VLOOKUP(A28:A54,'[10]ANEXO III Anexo IX (100 e 80%)'!$AV$6:$CL$36,43,)</f>
        <v>0</v>
      </c>
      <c r="L28" s="215">
        <f>VLOOKUP($A$4:$A$30,'[10]Anexo IX.I-Aporte do FA'!$A$4:$C$30,3,)</f>
        <v>176899.96729111284</v>
      </c>
      <c r="M28" s="215">
        <f>IFERROR(VLOOKUP($A$4:$A$30,'[11]Anexo VI-Repasse Fundo de Apoio'!$A$4:$G$13,7,),)</f>
        <v>0</v>
      </c>
      <c r="N28" s="215">
        <f>IFERROR(VLOOKUP($A$4:$A$30,'[10]Anexo IX-Repasse Fundo de Apoio'!$A$4:$C$23,3,),)</f>
        <v>0</v>
      </c>
      <c r="O28" s="218"/>
      <c r="P28" s="215">
        <f>VLOOKUP($A$4:$A$30,'[10]ANEXO X.CSC Total'!$A$3:$E$33,5,)</f>
        <v>826699.31</v>
      </c>
      <c r="Q28" s="215">
        <f>VLOOKUP($A$4:$A$30,'[10]ANEXO X.CSC Total'!$A$3:$C$35,3,)+VLOOKUP($A$4:$A$30,'[10]ANEXO X.CSC Total'!$A$3:$E$33,4,)</f>
        <v>120952.85390119521</v>
      </c>
      <c r="R28" s="219">
        <f>VLOOKUP($A$4:$A$30,'[12]Anexo VII- CSC - SERV.'!$A$4:$F$38,6,)-(P28+Q28)</f>
        <v>70563.638218535227</v>
      </c>
      <c r="S28" s="215">
        <v>0</v>
      </c>
      <c r="T28" s="220"/>
      <c r="U28" s="215">
        <f>VLOOKUP($A$4:$A$30,'[10]XI. Tarifas Bancárias'!$A$3:$D$33,4,)</f>
        <v>64276.24</v>
      </c>
      <c r="V28" s="220"/>
      <c r="W28" s="221">
        <f>VLOOKUP($A$4:$A$30,'[10]ANEXO I'!$A$5:$X$37,3,)</f>
        <v>15275</v>
      </c>
      <c r="X28" s="221">
        <f>VLOOKUP($A$4:$A$30,'[10]ANEXO I'!$A$5:$X$37,6,)</f>
        <v>14794</v>
      </c>
      <c r="Y28" s="222">
        <f>VLOOKUP($A$4:$A$30,'[10]ANEXO I'!$A$5:$X$37,12,)</f>
        <v>25.35487359740435</v>
      </c>
      <c r="Z28" s="221">
        <f>VLOOKUP($A$4:$A$30,'[10]ANEXO I'!$A$5:$X$37,15,)</f>
        <v>3033</v>
      </c>
      <c r="AA28" s="222">
        <f>VLOOKUP($A$4:$A$30,'[10]ANEXO I'!$A$5:$X$37,21,)</f>
        <v>37.553577316188594</v>
      </c>
      <c r="AB28" s="221">
        <f>VLOOKUP($A$4:$A$30,'[10]ANEXO I'!$A$5:$X$37,24,)</f>
        <v>74155</v>
      </c>
      <c r="AC28" s="223"/>
      <c r="AD28" s="220">
        <f>VLOOKUP($A$4:$A$30,'[10]ANEXO X.II.Encontro de Contas'!$A$2:$D$32,4,)</f>
        <v>4342.2</v>
      </c>
      <c r="AE28" s="223"/>
      <c r="AF28" s="220">
        <f>VLOOKUP($A$4:$A$30,'[13]Demonstrativos 2022'!$A$6:$Y$32,25,)</f>
        <v>17082768.949999999</v>
      </c>
      <c r="AG28" s="220"/>
      <c r="AH28" s="225">
        <v>11443208</v>
      </c>
      <c r="AM28" s="244"/>
      <c r="AP28" s="228"/>
      <c r="AQ28" s="229"/>
      <c r="AR28" s="229"/>
      <c r="AS28" s="229"/>
      <c r="AT28" s="229"/>
      <c r="AU28" s="229"/>
      <c r="AV28" s="229"/>
      <c r="AW28" s="229"/>
      <c r="AX28" s="229"/>
    </row>
    <row r="29" spans="1:50" ht="16.2" thickBot="1" x14ac:dyDescent="0.35">
      <c r="A29" s="214" t="s">
        <v>575</v>
      </c>
      <c r="B29" s="215">
        <f>VLOOKUP($A$4:$A$30,'[10]ANEXO III Anexo IX (100 e 80%)'!$AV$6:$CJ$36,7,)</f>
        <v>5505513.96</v>
      </c>
      <c r="C29" s="215">
        <f>VLOOKUP($A$4:$A$30,'[10]ANEXO III Anexo IX (100 e 80%)'!$AV$6:$CJ$36,8,)</f>
        <v>1368009.63</v>
      </c>
      <c r="D29" s="215">
        <f t="shared" si="0"/>
        <v>6873523.5899999999</v>
      </c>
      <c r="E29" s="215">
        <f>VLOOKUP($A$4:$A$30,'[10]ANEXO III Anexo IX (100 e 80%)'!$AV$6:$CJ$36,17,)</f>
        <v>612571.84</v>
      </c>
      <c r="F29" s="215">
        <f>VLOOKUP($A$4:$A$30,'[10]ANEXO III Anexo IX (100 e 80%)'!$AV$6:$CJ$36,18,)</f>
        <v>376086.42000000004</v>
      </c>
      <c r="G29" s="215">
        <f t="shared" si="1"/>
        <v>988658.26</v>
      </c>
      <c r="H29" s="215">
        <f>VLOOKUP($A$4:$A$30,'[10]ANEXO III Anexo IX (100 e 80%)'!$AV$6:$CJ$36,25,)</f>
        <v>9502073.5700000003</v>
      </c>
      <c r="I29" s="215">
        <f>VLOOKUP($A$4:$A$30,'[10]ANEXO III Anexo IX (100 e 80%)'!$AV$6:$CJ$36,31,)</f>
        <v>725388.82000000007</v>
      </c>
      <c r="J29" s="216">
        <f t="shared" si="2"/>
        <v>18089644.240000002</v>
      </c>
      <c r="K29" s="217">
        <f>J29-VLOOKUP(A29:A55,'[10]ANEXO III Anexo IX (100 e 80%)'!$AV$6:$CL$36,43,)</f>
        <v>0</v>
      </c>
      <c r="L29" s="215">
        <f>VLOOKUP($A$4:$A$30,'[10]Anexo IX.I-Aporte do FA'!$A$4:$C$30,3,)</f>
        <v>240136.57118814671</v>
      </c>
      <c r="M29" s="215">
        <f>IFERROR(VLOOKUP($A$4:$A$30,'[11]Anexo VI-Repasse Fundo de Apoio'!$A$4:$G$13,7,),)</f>
        <v>0</v>
      </c>
      <c r="N29" s="215">
        <f>IFERROR(VLOOKUP($A$4:$A$30,'[10]Anexo IX-Repasse Fundo de Apoio'!$A$4:$C$23,3,),)</f>
        <v>0</v>
      </c>
      <c r="O29" s="218"/>
      <c r="P29" s="215">
        <f>VLOOKUP($A$4:$A$30,'[10]ANEXO X.CSC Total'!$A$3:$E$33,5,)</f>
        <v>1113368.07</v>
      </c>
      <c r="Q29" s="215">
        <f>VLOOKUP($A$4:$A$30,'[10]ANEXO X.CSC Total'!$A$3:$C$35,3,)+VLOOKUP($A$4:$A$30,'[10]ANEXO X.CSC Total'!$A$3:$E$33,4,)</f>
        <v>162464.06645109109</v>
      </c>
      <c r="R29" s="219">
        <f>VLOOKUP($A$4:$A$30,'[12]Anexo VII- CSC - SERV.'!$A$4:$F$38,6,)-(P29+Q29)</f>
        <v>41724.785830042325</v>
      </c>
      <c r="S29" s="215"/>
      <c r="T29" s="220"/>
      <c r="U29" s="215">
        <f>VLOOKUP($A$4:$A$30,'[10]XI. Tarifas Bancárias'!$A$3:$D$33,4,)</f>
        <v>76210.880000000005</v>
      </c>
      <c r="V29" s="220"/>
      <c r="W29" s="221">
        <f>VLOOKUP($A$4:$A$30,'[10]ANEXO I'!$A$5:$X$37,3,)</f>
        <v>18923</v>
      </c>
      <c r="X29" s="221">
        <f>VLOOKUP($A$4:$A$30,'[10]ANEXO I'!$A$5:$X$37,6,)</f>
        <v>17609</v>
      </c>
      <c r="Y29" s="222">
        <f>VLOOKUP($A$4:$A$30,'[10]ANEXO I'!$A$5:$X$37,12,)</f>
        <v>17.451303310806978</v>
      </c>
      <c r="Z29" s="221">
        <f>VLOOKUP($A$4:$A$30,'[10]ANEXO I'!$A$5:$X$37,15,)</f>
        <v>3694</v>
      </c>
      <c r="AA29" s="222">
        <f>VLOOKUP($A$4:$A$30,'[10]ANEXO I'!$A$5:$X$37,21,)</f>
        <v>31.862479696805636</v>
      </c>
      <c r="AB29" s="221">
        <f>VLOOKUP($A$4:$A$30,'[10]ANEXO I'!$A$5:$X$37,24,)</f>
        <v>103122</v>
      </c>
      <c r="AC29" s="223"/>
      <c r="AD29" s="220">
        <f>VLOOKUP($A$4:$A$30,'[10]ANEXO X.II.Encontro de Contas'!$A$2:$D$32,4,)</f>
        <v>3548.9200000000005</v>
      </c>
      <c r="AE29" s="223"/>
      <c r="AF29" s="220">
        <f>VLOOKUP($A$4:$A$30,'[13]Demonstrativos 2022'!$A$6:$Y$32,25,)</f>
        <v>19333585.09</v>
      </c>
      <c r="AG29" s="220"/>
      <c r="AH29" s="225">
        <v>10880506</v>
      </c>
      <c r="AP29" s="228"/>
      <c r="AQ29" s="229"/>
      <c r="AR29" s="229"/>
      <c r="AS29" s="229"/>
      <c r="AT29" s="229"/>
      <c r="AU29" s="229"/>
      <c r="AV29" s="229"/>
      <c r="AW29" s="229"/>
      <c r="AX29" s="229"/>
    </row>
    <row r="30" spans="1:50" ht="16.2" thickBot="1" x14ac:dyDescent="0.35">
      <c r="A30" s="214" t="s">
        <v>576</v>
      </c>
      <c r="B30" s="215">
        <f>VLOOKUP($A$4:$A$30,'[10]ANEXO III Anexo IX (100 e 80%)'!$AV$6:$CJ$36,7,)</f>
        <v>3448897.0599999996</v>
      </c>
      <c r="C30" s="215">
        <f>VLOOKUP($A$4:$A$30,'[10]ANEXO III Anexo IX (100 e 80%)'!$AV$6:$CJ$36,8,)</f>
        <v>999815.12000000011</v>
      </c>
      <c r="D30" s="215">
        <f t="shared" si="0"/>
        <v>4448712.18</v>
      </c>
      <c r="E30" s="215">
        <f>VLOOKUP($A$4:$A$30,'[10]ANEXO III Anexo IX (100 e 80%)'!$AV$6:$CJ$36,17,)</f>
        <v>351145.48000000004</v>
      </c>
      <c r="F30" s="215">
        <f>VLOOKUP($A$4:$A$30,'[10]ANEXO III Anexo IX (100 e 80%)'!$AV$6:$CJ$36,18,)</f>
        <v>215703.28999999998</v>
      </c>
      <c r="G30" s="215">
        <f t="shared" si="1"/>
        <v>566848.77</v>
      </c>
      <c r="H30" s="215">
        <f>VLOOKUP($A$4:$A$30,'[10]ANEXO III Anexo IX (100 e 80%)'!$AV$6:$CJ$36,25,)</f>
        <v>5879247.9199999999</v>
      </c>
      <c r="I30" s="215">
        <f>VLOOKUP($A$4:$A$30,'[10]ANEXO III Anexo IX (100 e 80%)'!$AV$6:$CJ$36,31,)</f>
        <v>523887.91000000003</v>
      </c>
      <c r="J30" s="216">
        <f t="shared" si="2"/>
        <v>11418696.779999999</v>
      </c>
      <c r="K30" s="217">
        <f>J30-VLOOKUP(A30:A56,'[10]ANEXO III Anexo IX (100 e 80%)'!$AV$6:$CL$36,43,)</f>
        <v>0</v>
      </c>
      <c r="L30" s="215">
        <f>VLOOKUP($A$4:$A$30,'[10]Anexo IX.I-Aporte do FA'!$A$4:$C$30,3,)</f>
        <v>153332.76783598113</v>
      </c>
      <c r="M30" s="215">
        <f>IFERROR(VLOOKUP($A$4:$A$30,'[11]Anexo VI-Repasse Fundo de Apoio'!$A$4:$G$13,7,),)</f>
        <v>0</v>
      </c>
      <c r="N30" s="215">
        <f>IFERROR(VLOOKUP($A$4:$A$30,'[10]Anexo IX-Repasse Fundo de Apoio'!$A$4:$C$23,3,),)</f>
        <v>0</v>
      </c>
      <c r="O30" s="218"/>
      <c r="P30" s="215">
        <f>VLOOKUP($A$4:$A$30,'[10]ANEXO X.CSC Total'!$A$3:$E$33,5,)</f>
        <v>701232.32</v>
      </c>
      <c r="Q30" s="215">
        <f>VLOOKUP($A$4:$A$30,'[10]ANEXO X.CSC Total'!$A$3:$C$35,3,)+VLOOKUP($A$4:$A$30,'[10]ANEXO X.CSC Total'!$A$3:$E$33,4,)</f>
        <v>101544.07769533237</v>
      </c>
      <c r="R30" s="219">
        <f>VLOOKUP($A$4:$A$30,'[12]Anexo VII- CSC - SERV.'!$A$4:$F$38,6,)-(P30+Q30)</f>
        <v>73545.589713973459</v>
      </c>
      <c r="S30" s="215">
        <v>0</v>
      </c>
      <c r="T30" s="220"/>
      <c r="U30" s="215">
        <f>VLOOKUP($A$4:$A$30,'[10]XI. Tarifas Bancárias'!$A$3:$D$33,4,)</f>
        <v>47305.440000000002</v>
      </c>
      <c r="V30" s="220"/>
      <c r="W30" s="221">
        <f>VLOOKUP($A$4:$A$30,'[10]ANEXO I'!$A$5:$X$37,3,)</f>
        <v>12604</v>
      </c>
      <c r="X30" s="221">
        <f>VLOOKUP($A$4:$A$30,'[10]ANEXO I'!$A$5:$X$37,6,)</f>
        <v>12241</v>
      </c>
      <c r="Y30" s="222">
        <f>VLOOKUP($A$4:$A$30,'[10]ANEXO I'!$A$5:$X$37,12,)</f>
        <v>21.803774201454132</v>
      </c>
      <c r="Z30" s="221">
        <f>VLOOKUP($A$4:$A$30,'[10]ANEXO I'!$A$5:$X$37,15,)</f>
        <v>2311</v>
      </c>
      <c r="AA30" s="222">
        <f>VLOOKUP($A$4:$A$30,'[10]ANEXO I'!$A$5:$X$37,21,)</f>
        <v>43.22803980960623</v>
      </c>
      <c r="AB30" s="221">
        <f>VLOOKUP($A$4:$A$30,'[10]ANEXO I'!$A$5:$X$37,24,)</f>
        <v>63805</v>
      </c>
      <c r="AC30" s="223"/>
      <c r="AD30" s="220">
        <f>VLOOKUP($A$4:$A$30,'[10]ANEXO X.II.Encontro de Contas'!$A$2:$D$32,4,)</f>
        <v>2177.7199999999998</v>
      </c>
      <c r="AE30" s="223"/>
      <c r="AF30" s="220">
        <f>VLOOKUP($A$4:$A$30,'[13]Demonstrativos 2022'!$A$6:$Y$32,25,)</f>
        <v>6303116.2000000002</v>
      </c>
      <c r="AG30" s="220"/>
      <c r="AH30" s="225">
        <v>7609601</v>
      </c>
      <c r="AP30" s="228"/>
      <c r="AQ30" s="229"/>
      <c r="AR30" s="229"/>
      <c r="AS30" s="229"/>
      <c r="AT30" s="229"/>
      <c r="AU30" s="229"/>
      <c r="AV30" s="229"/>
      <c r="AW30" s="229"/>
      <c r="AX30" s="229"/>
    </row>
    <row r="31" spans="1:50" ht="15.6" x14ac:dyDescent="0.3">
      <c r="B31" s="246">
        <f>SUM(B4:B30)-'[10]ANEXO III Anexo IX (100 e 80%)'!$BB$38</f>
        <v>9.9999979138374329E-3</v>
      </c>
      <c r="C31" s="246">
        <f>SUM(C4:C30)</f>
        <v>16224703.710000001</v>
      </c>
      <c r="D31" s="246">
        <f t="shared" ref="D31:J31" si="3">SUM(D4:D30)</f>
        <v>74591422.729999989</v>
      </c>
      <c r="E31" s="246">
        <f t="shared" si="3"/>
        <v>4631557.8500000006</v>
      </c>
      <c r="F31" s="246">
        <f t="shared" si="3"/>
        <v>2986511.4599999995</v>
      </c>
      <c r="G31" s="246">
        <f t="shared" si="3"/>
        <v>7618069.3099999987</v>
      </c>
      <c r="H31" s="246">
        <f t="shared" si="3"/>
        <v>91051448.589999989</v>
      </c>
      <c r="I31" s="246">
        <f t="shared" si="3"/>
        <v>8360696.6899999995</v>
      </c>
      <c r="J31" s="246">
        <f t="shared" si="3"/>
        <v>181621637.31999999</v>
      </c>
      <c r="L31" s="189" t="b">
        <f>SUM(L4:L30)='[10]Anexo IX.I-Aporte do FA'!$C$31</f>
        <v>1</v>
      </c>
      <c r="N31" s="189" t="b">
        <f>SUM(N4:N30)='[10]Anexo IX-Repasse Fundo de Apoio'!$C$16-'[10]Anexo IX-Repasse Fundo de Apoio'!$C$10+'[10]Anexo IX-Repasse Fundo de Apoio'!$C$24</f>
        <v>1</v>
      </c>
      <c r="P31" s="189" t="b">
        <f>SUM(P4:P30)='[10]ANEXO X.CSC Total'!$E$35</f>
        <v>1</v>
      </c>
      <c r="Q31" s="189" t="b">
        <f>SUM(Q4:Q30)='[10]ANEXO X.CSC Total'!$C$35+'[10]ANEXO X.CSC Total'!$D$35</f>
        <v>1</v>
      </c>
      <c r="U31" s="189">
        <f>SUM(U4:U30)-'[10]XI. Tarifas Bancárias'!$D$35</f>
        <v>2.0000000135041773E-2</v>
      </c>
      <c r="W31" s="191" t="b">
        <f>SUM(W4:W30)='[10]ANEXO I'!$C$37</f>
        <v>1</v>
      </c>
      <c r="X31" s="191" t="b">
        <f>SUM(X4:X30)='[10]ANEXO I'!$F$37</f>
        <v>1</v>
      </c>
      <c r="Y31" s="191"/>
      <c r="Z31" s="191" t="b">
        <f>SUM(Z4:Z30)='[10]ANEXO I'!$O$37</f>
        <v>1</v>
      </c>
      <c r="AA31" s="191"/>
      <c r="AB31" s="191" t="b">
        <f>SUM(AB4:AB30)='[10]ANEXO I'!$X$37</f>
        <v>1</v>
      </c>
      <c r="AD31" s="228" t="b">
        <f>SUM(AD4:AD30)='[10]ANEXO X.II.Encontro de Contas'!$D$34</f>
        <v>1</v>
      </c>
      <c r="AF31" s="228" t="b">
        <f>SUM(AF4:AF30)='[13]Demonstrativos 2022'!$Y$33</f>
        <v>1</v>
      </c>
      <c r="AH31" s="191" t="b">
        <f>SUM(AH4:AH30)=203062512</f>
        <v>1</v>
      </c>
    </row>
    <row r="32" spans="1:50" ht="15.6" hidden="1" x14ac:dyDescent="0.3">
      <c r="A32" s="245" t="s">
        <v>577</v>
      </c>
      <c r="B32" s="247">
        <v>2</v>
      </c>
      <c r="C32" s="247">
        <f>B32+1</f>
        <v>3</v>
      </c>
      <c r="D32" s="247">
        <f t="shared" ref="D32:AH32" si="4">C32+1</f>
        <v>4</v>
      </c>
      <c r="E32" s="247">
        <f t="shared" si="4"/>
        <v>5</v>
      </c>
      <c r="F32" s="247">
        <f t="shared" si="4"/>
        <v>6</v>
      </c>
      <c r="G32" s="247">
        <f t="shared" si="4"/>
        <v>7</v>
      </c>
      <c r="H32" s="247">
        <f t="shared" si="4"/>
        <v>8</v>
      </c>
      <c r="I32" s="247">
        <f t="shared" si="4"/>
        <v>9</v>
      </c>
      <c r="J32" s="247">
        <f t="shared" si="4"/>
        <v>10</v>
      </c>
      <c r="K32" s="247">
        <f t="shared" si="4"/>
        <v>11</v>
      </c>
      <c r="L32" s="247">
        <f t="shared" si="4"/>
        <v>12</v>
      </c>
      <c r="M32" s="247">
        <f t="shared" si="4"/>
        <v>13</v>
      </c>
      <c r="N32" s="247">
        <f t="shared" si="4"/>
        <v>14</v>
      </c>
      <c r="O32" s="247">
        <f t="shared" si="4"/>
        <v>15</v>
      </c>
      <c r="P32" s="247">
        <f t="shared" si="4"/>
        <v>16</v>
      </c>
      <c r="Q32" s="247">
        <f t="shared" si="4"/>
        <v>17</v>
      </c>
      <c r="R32" s="247">
        <f t="shared" si="4"/>
        <v>18</v>
      </c>
      <c r="S32" s="247">
        <f t="shared" si="4"/>
        <v>19</v>
      </c>
      <c r="T32" s="247">
        <f>S32+1</f>
        <v>20</v>
      </c>
      <c r="U32" s="247">
        <f t="shared" si="4"/>
        <v>21</v>
      </c>
      <c r="V32" s="247">
        <f t="shared" si="4"/>
        <v>22</v>
      </c>
      <c r="W32" s="247">
        <f t="shared" si="4"/>
        <v>23</v>
      </c>
      <c r="X32" s="247">
        <f t="shared" si="4"/>
        <v>24</v>
      </c>
      <c r="Y32" s="247">
        <f t="shared" si="4"/>
        <v>25</v>
      </c>
      <c r="Z32" s="247">
        <f t="shared" si="4"/>
        <v>26</v>
      </c>
      <c r="AA32" s="247">
        <f t="shared" si="4"/>
        <v>27</v>
      </c>
      <c r="AB32" s="247">
        <f t="shared" si="4"/>
        <v>28</v>
      </c>
      <c r="AC32" s="247">
        <f t="shared" si="4"/>
        <v>29</v>
      </c>
      <c r="AD32" s="247">
        <f t="shared" si="4"/>
        <v>30</v>
      </c>
      <c r="AE32" s="247">
        <f t="shared" si="4"/>
        <v>31</v>
      </c>
      <c r="AF32" s="247">
        <f t="shared" si="4"/>
        <v>32</v>
      </c>
      <c r="AG32" s="247">
        <f t="shared" si="4"/>
        <v>33</v>
      </c>
      <c r="AH32" s="247">
        <f t="shared" si="4"/>
        <v>34</v>
      </c>
    </row>
    <row r="33" spans="16:17" ht="15.6" hidden="1" x14ac:dyDescent="0.3">
      <c r="P33" s="248"/>
      <c r="Q33" s="248"/>
    </row>
    <row r="34" spans="16:17" ht="15.6" hidden="1" x14ac:dyDescent="0.3">
      <c r="P34" s="248"/>
      <c r="Q34" s="248"/>
    </row>
    <row r="35" spans="16:17" ht="15.6" hidden="1" x14ac:dyDescent="0.3">
      <c r="P35" s="248"/>
      <c r="Q35" s="248"/>
    </row>
    <row r="36" spans="16:17" ht="15.6" hidden="1" x14ac:dyDescent="0.3">
      <c r="P36" s="248"/>
      <c r="Q36" s="248"/>
    </row>
  </sheetData>
  <mergeCells count="20">
    <mergeCell ref="AM2:AN2"/>
    <mergeCell ref="AJ18:AK18"/>
    <mergeCell ref="AJ26:AK26"/>
    <mergeCell ref="W1:AB1"/>
    <mergeCell ref="B2:D2"/>
    <mergeCell ref="E2:G2"/>
    <mergeCell ref="H2:H3"/>
    <mergeCell ref="I2:I3"/>
    <mergeCell ref="J2:J3"/>
    <mergeCell ref="W2:Y2"/>
    <mergeCell ref="Z2:AA2"/>
    <mergeCell ref="U1:U2"/>
    <mergeCell ref="AD2:AD3"/>
    <mergeCell ref="AF2:AF3"/>
    <mergeCell ref="AH2:AH3"/>
    <mergeCell ref="A1:A3"/>
    <mergeCell ref="B1:J1"/>
    <mergeCell ref="L1:N2"/>
    <mergeCell ref="P1:Q2"/>
    <mergeCell ref="S1:S2"/>
  </mergeCells>
  <conditionalFormatting sqref="A31:XFD31">
    <cfRule type="cellIs" dxfId="1" priority="1" operator="equal">
      <formula>FALSE</formula>
    </cfRule>
    <cfRule type="cellIs" dxfId="0" priority="2" operator="equal">
      <formula>TRUE</formula>
    </cfRule>
  </conditionalFormatting>
  <dataValidations count="1">
    <dataValidation type="list" allowBlank="1" showInputMessage="1" showErrorMessage="1" sqref="AK2" xr:uid="{00000000-0002-0000-0A00-000000000000}">
      <formula1>$A$4:$A$30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34"/>
  <sheetViews>
    <sheetView topLeftCell="B1" zoomScale="60" zoomScaleNormal="60" workbookViewId="0">
      <selection activeCell="F36" sqref="F36"/>
    </sheetView>
  </sheetViews>
  <sheetFormatPr defaultColWidth="9.109375" defaultRowHeight="15.6" x14ac:dyDescent="0.3"/>
  <cols>
    <col min="1" max="1" width="0" style="21" hidden="1" customWidth="1"/>
    <col min="2" max="2" width="57" style="21" bestFit="1" customWidth="1"/>
    <col min="3" max="4" width="0" style="21" hidden="1" customWidth="1"/>
    <col min="5" max="5" width="39.5546875" style="21" hidden="1" customWidth="1"/>
    <col min="6" max="6" width="51.109375" style="21" bestFit="1" customWidth="1"/>
    <col min="7" max="13" width="0" style="21" hidden="1" customWidth="1"/>
    <col min="14" max="14" width="54" style="21" bestFit="1" customWidth="1"/>
    <col min="15" max="16" width="0" style="21" hidden="1" customWidth="1"/>
    <col min="17" max="17" width="132.88671875" style="21" bestFit="1" customWidth="1"/>
    <col min="18" max="16384" width="9.109375" style="21"/>
  </cols>
  <sheetData>
    <row r="1" spans="1:26" x14ac:dyDescent="0.3">
      <c r="A1" s="9"/>
      <c r="B1" s="9" t="s">
        <v>108</v>
      </c>
      <c r="C1" s="9"/>
      <c r="D1" s="9"/>
      <c r="E1" s="9"/>
      <c r="F1" s="9" t="s">
        <v>74</v>
      </c>
      <c r="G1" s="9"/>
      <c r="H1" s="9"/>
      <c r="I1" s="9"/>
      <c r="J1" s="9"/>
      <c r="K1" s="9"/>
      <c r="L1" s="9"/>
      <c r="M1" s="9"/>
      <c r="N1" s="9" t="s">
        <v>159</v>
      </c>
      <c r="O1" s="9"/>
      <c r="P1" s="9"/>
      <c r="Q1" s="9" t="s">
        <v>26</v>
      </c>
      <c r="R1" s="9"/>
      <c r="S1" s="9"/>
      <c r="T1" s="9"/>
      <c r="U1" s="9"/>
      <c r="V1" s="9"/>
      <c r="W1" s="9"/>
      <c r="X1" s="9"/>
      <c r="Y1" s="9"/>
      <c r="Z1" s="9"/>
    </row>
    <row r="2" spans="1:26" x14ac:dyDescent="0.3">
      <c r="A2" s="9"/>
      <c r="B2" s="9" t="s">
        <v>116</v>
      </c>
      <c r="C2" s="9"/>
      <c r="D2" s="9"/>
      <c r="E2" s="9"/>
      <c r="F2" s="9" t="s">
        <v>49</v>
      </c>
      <c r="G2" s="9"/>
      <c r="H2" s="9"/>
      <c r="I2" s="9"/>
      <c r="J2" s="9"/>
      <c r="K2" s="9"/>
      <c r="L2" s="9"/>
      <c r="M2" s="9"/>
      <c r="N2" s="9" t="s">
        <v>160</v>
      </c>
      <c r="O2" s="9"/>
      <c r="P2" s="9"/>
      <c r="Q2" s="9" t="s">
        <v>161</v>
      </c>
      <c r="R2" s="9"/>
      <c r="S2" s="9"/>
      <c r="T2" s="9"/>
      <c r="U2" s="9"/>
      <c r="V2" s="9"/>
      <c r="W2" s="9"/>
      <c r="X2" s="9"/>
      <c r="Y2" s="9"/>
      <c r="Z2" s="9"/>
    </row>
    <row r="3" spans="1:26" x14ac:dyDescent="0.3">
      <c r="A3" s="9"/>
      <c r="B3" s="9" t="s">
        <v>117</v>
      </c>
      <c r="C3" s="9"/>
      <c r="D3" s="9"/>
      <c r="E3" s="9"/>
      <c r="F3" s="9" t="s">
        <v>44</v>
      </c>
      <c r="G3" s="9"/>
      <c r="H3" s="9"/>
      <c r="I3" s="9"/>
      <c r="J3" s="9"/>
      <c r="K3" s="9"/>
      <c r="L3" s="9"/>
      <c r="M3" s="9"/>
      <c r="N3" s="9" t="s">
        <v>129</v>
      </c>
      <c r="O3" s="9"/>
      <c r="P3" s="9"/>
      <c r="Q3" s="9" t="s">
        <v>27</v>
      </c>
      <c r="R3" s="9"/>
      <c r="S3" s="9"/>
      <c r="T3" s="9"/>
      <c r="U3" s="9"/>
      <c r="V3" s="9"/>
      <c r="W3" s="9"/>
      <c r="X3" s="9"/>
      <c r="Y3" s="9"/>
      <c r="Z3" s="9"/>
    </row>
    <row r="4" spans="1:26" x14ac:dyDescent="0.3">
      <c r="A4" s="9"/>
      <c r="B4" s="9" t="s">
        <v>118</v>
      </c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 t="s">
        <v>130</v>
      </c>
      <c r="O4" s="9"/>
      <c r="P4" s="9"/>
      <c r="Q4" s="9" t="s">
        <v>128</v>
      </c>
      <c r="R4" s="9"/>
      <c r="S4" s="9"/>
      <c r="T4" s="9"/>
      <c r="U4" s="9"/>
      <c r="V4" s="9"/>
      <c r="W4" s="9"/>
      <c r="X4" s="9"/>
      <c r="Y4" s="9"/>
      <c r="Z4" s="9"/>
    </row>
    <row r="5" spans="1:26" x14ac:dyDescent="0.3">
      <c r="A5" s="9"/>
      <c r="B5" s="9" t="s">
        <v>109</v>
      </c>
      <c r="C5" s="9"/>
      <c r="D5" s="9"/>
      <c r="E5" s="9"/>
      <c r="F5" s="9" t="s">
        <v>150</v>
      </c>
      <c r="G5" s="9"/>
      <c r="H5" s="9"/>
      <c r="I5" s="9"/>
      <c r="J5" s="9"/>
      <c r="K5" s="9"/>
      <c r="L5" s="9"/>
      <c r="M5" s="9"/>
      <c r="N5" s="9" t="s">
        <v>131</v>
      </c>
      <c r="O5" s="9"/>
      <c r="P5" s="9"/>
      <c r="Q5" s="9" t="s">
        <v>29</v>
      </c>
      <c r="R5" s="9"/>
      <c r="S5" s="9"/>
      <c r="T5" s="9"/>
      <c r="U5" s="9"/>
      <c r="V5" s="9"/>
      <c r="W5" s="9"/>
      <c r="X5" s="9"/>
      <c r="Y5" s="9"/>
      <c r="Z5" s="9"/>
    </row>
    <row r="6" spans="1:26" x14ac:dyDescent="0.3">
      <c r="A6" s="9"/>
      <c r="B6" s="9" t="s">
        <v>119</v>
      </c>
      <c r="C6" s="9"/>
      <c r="D6" s="9"/>
      <c r="E6" s="9"/>
      <c r="F6" s="9" t="s">
        <v>151</v>
      </c>
      <c r="G6" s="9"/>
      <c r="H6" s="9"/>
      <c r="I6" s="9"/>
      <c r="J6" s="9"/>
      <c r="K6" s="9"/>
      <c r="L6" s="9"/>
      <c r="M6" s="9"/>
      <c r="N6" s="9" t="s">
        <v>132</v>
      </c>
      <c r="O6" s="9"/>
      <c r="P6" s="9"/>
      <c r="Q6" s="9" t="s">
        <v>140</v>
      </c>
      <c r="R6" s="9"/>
      <c r="S6" s="9"/>
      <c r="T6" s="9"/>
      <c r="U6" s="9"/>
      <c r="V6" s="9"/>
      <c r="W6" s="9"/>
      <c r="X6" s="9"/>
      <c r="Y6" s="9"/>
      <c r="Z6" s="9"/>
    </row>
    <row r="7" spans="1:26" x14ac:dyDescent="0.3">
      <c r="A7" s="9"/>
      <c r="B7" s="9" t="s">
        <v>274</v>
      </c>
      <c r="C7" s="9"/>
      <c r="D7" s="9"/>
      <c r="E7" s="9"/>
      <c r="F7" s="9" t="s">
        <v>152</v>
      </c>
      <c r="G7" s="9"/>
      <c r="H7" s="9"/>
      <c r="I7" s="9"/>
      <c r="J7" s="9"/>
      <c r="K7" s="9"/>
      <c r="L7" s="9"/>
      <c r="M7" s="9"/>
      <c r="N7" s="9" t="s">
        <v>133</v>
      </c>
      <c r="O7" s="9"/>
      <c r="P7" s="9"/>
      <c r="Q7" s="9" t="s">
        <v>162</v>
      </c>
      <c r="R7" s="9"/>
      <c r="S7" s="9"/>
      <c r="T7" s="9"/>
      <c r="U7" s="9"/>
      <c r="V7" s="9"/>
      <c r="W7" s="9"/>
      <c r="X7" s="9"/>
      <c r="Y7" s="9"/>
      <c r="Z7" s="9"/>
    </row>
    <row r="8" spans="1:26" x14ac:dyDescent="0.3">
      <c r="A8" s="9"/>
      <c r="B8" s="9" t="s">
        <v>110</v>
      </c>
      <c r="C8" s="9"/>
      <c r="D8" s="9"/>
      <c r="E8" s="9"/>
      <c r="F8" s="9" t="s">
        <v>153</v>
      </c>
      <c r="G8" s="9"/>
      <c r="H8" s="9"/>
      <c r="I8" s="9"/>
      <c r="J8" s="9"/>
      <c r="K8" s="9"/>
      <c r="L8" s="9"/>
      <c r="M8" s="9"/>
      <c r="N8" s="9" t="s">
        <v>135</v>
      </c>
      <c r="O8" s="9"/>
      <c r="P8" s="9"/>
      <c r="Q8" s="9" t="s">
        <v>134</v>
      </c>
      <c r="R8" s="9"/>
      <c r="S8" s="9"/>
      <c r="T8" s="9"/>
      <c r="U8" s="9"/>
      <c r="V8" s="9"/>
      <c r="W8" s="9"/>
      <c r="X8" s="9"/>
      <c r="Y8" s="9"/>
      <c r="Z8" s="9"/>
    </row>
    <row r="9" spans="1:26" x14ac:dyDescent="0.3">
      <c r="A9" s="9"/>
      <c r="B9" s="9" t="s">
        <v>120</v>
      </c>
      <c r="C9" s="9"/>
      <c r="D9" s="9"/>
      <c r="E9" s="9"/>
      <c r="F9" s="9" t="s">
        <v>154</v>
      </c>
      <c r="G9" s="9"/>
      <c r="H9" s="9"/>
      <c r="I9" s="9"/>
      <c r="J9" s="9"/>
      <c r="K9" s="9"/>
      <c r="L9" s="9"/>
      <c r="M9" s="9"/>
      <c r="N9" s="9" t="s">
        <v>136</v>
      </c>
      <c r="O9" s="9"/>
      <c r="P9" s="9"/>
      <c r="Q9" s="9" t="s">
        <v>32</v>
      </c>
      <c r="R9" s="9"/>
      <c r="S9" s="9"/>
      <c r="T9" s="9"/>
      <c r="U9" s="9"/>
      <c r="V9" s="9"/>
      <c r="W9" s="9"/>
      <c r="X9" s="9"/>
      <c r="Y9" s="9"/>
      <c r="Z9" s="9"/>
    </row>
    <row r="10" spans="1:26" x14ac:dyDescent="0.3">
      <c r="A10" s="9"/>
      <c r="B10" s="9" t="s">
        <v>111</v>
      </c>
      <c r="C10" s="9"/>
      <c r="D10" s="9"/>
      <c r="E10" s="9"/>
      <c r="F10" s="9" t="s">
        <v>163</v>
      </c>
      <c r="G10" s="9"/>
      <c r="H10" s="9"/>
      <c r="I10" s="9"/>
      <c r="J10" s="9"/>
      <c r="K10" s="9"/>
      <c r="L10" s="9"/>
      <c r="M10" s="9"/>
      <c r="N10" s="9" t="s">
        <v>137</v>
      </c>
      <c r="O10" s="9"/>
      <c r="P10" s="9"/>
      <c r="Q10" s="9" t="s">
        <v>33</v>
      </c>
      <c r="R10" s="9"/>
      <c r="S10" s="9"/>
      <c r="T10" s="9"/>
      <c r="U10" s="9"/>
      <c r="V10" s="9"/>
      <c r="W10" s="9"/>
      <c r="X10" s="9"/>
      <c r="Y10" s="9"/>
      <c r="Z10" s="9"/>
    </row>
    <row r="11" spans="1:26" x14ac:dyDescent="0.3">
      <c r="A11" s="9"/>
      <c r="B11" s="9" t="s">
        <v>112</v>
      </c>
      <c r="C11" s="9"/>
      <c r="D11" s="9"/>
      <c r="E11" s="9"/>
      <c r="F11" s="9" t="s">
        <v>46</v>
      </c>
      <c r="G11" s="9"/>
      <c r="H11" s="9"/>
      <c r="I11" s="9"/>
      <c r="J11" s="9"/>
      <c r="K11" s="9"/>
      <c r="L11" s="9"/>
      <c r="M11" s="9"/>
      <c r="N11" s="9" t="s">
        <v>138</v>
      </c>
      <c r="O11" s="9"/>
      <c r="P11" s="9"/>
      <c r="Q11" s="9" t="s">
        <v>34</v>
      </c>
      <c r="R11" s="9"/>
      <c r="S11" s="9"/>
      <c r="T11" s="9"/>
      <c r="U11" s="9"/>
      <c r="V11" s="9"/>
      <c r="W11" s="9"/>
      <c r="X11" s="9"/>
      <c r="Y11" s="9"/>
      <c r="Z11" s="9"/>
    </row>
    <row r="12" spans="1:26" x14ac:dyDescent="0.3">
      <c r="A12" s="9"/>
      <c r="B12" s="9" t="s">
        <v>121</v>
      </c>
      <c r="C12" s="9"/>
      <c r="D12" s="9"/>
      <c r="E12" s="9"/>
      <c r="F12" s="9" t="s">
        <v>2</v>
      </c>
      <c r="G12" s="9"/>
      <c r="H12" s="9"/>
      <c r="I12" s="9"/>
      <c r="J12" s="9"/>
      <c r="K12" s="9"/>
      <c r="L12" s="9"/>
      <c r="M12" s="9"/>
      <c r="N12" s="9" t="s">
        <v>139</v>
      </c>
      <c r="O12" s="9"/>
      <c r="P12" s="9"/>
      <c r="Q12" s="9" t="s">
        <v>35</v>
      </c>
      <c r="R12" s="9"/>
      <c r="S12" s="9"/>
      <c r="T12" s="9"/>
      <c r="U12" s="9"/>
      <c r="V12" s="9"/>
      <c r="W12" s="9"/>
      <c r="X12" s="9"/>
      <c r="Y12" s="9"/>
      <c r="Z12" s="9"/>
    </row>
    <row r="13" spans="1:26" x14ac:dyDescent="0.3">
      <c r="A13" s="9"/>
      <c r="B13" s="9" t="s">
        <v>122</v>
      </c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 t="s">
        <v>141</v>
      </c>
      <c r="O13" s="9"/>
      <c r="P13" s="9"/>
      <c r="Q13" s="9" t="s">
        <v>36</v>
      </c>
      <c r="R13" s="9"/>
      <c r="S13" s="9"/>
      <c r="T13" s="9"/>
      <c r="U13" s="9"/>
      <c r="V13" s="9"/>
      <c r="W13" s="9"/>
      <c r="X13" s="9"/>
      <c r="Y13" s="9"/>
      <c r="Z13" s="9"/>
    </row>
    <row r="14" spans="1:26" x14ac:dyDescent="0.3">
      <c r="A14" s="9"/>
      <c r="B14" s="9" t="s">
        <v>113</v>
      </c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 t="s">
        <v>142</v>
      </c>
      <c r="O14" s="9"/>
      <c r="P14" s="9"/>
      <c r="Q14" s="9" t="s">
        <v>37</v>
      </c>
      <c r="R14" s="9"/>
      <c r="S14" s="9"/>
      <c r="T14" s="9"/>
      <c r="U14" s="9"/>
      <c r="V14" s="9"/>
      <c r="W14" s="9"/>
      <c r="X14" s="9"/>
      <c r="Y14" s="9"/>
      <c r="Z14" s="9"/>
    </row>
    <row r="15" spans="1:26" x14ac:dyDescent="0.3">
      <c r="A15" s="9"/>
      <c r="B15" s="9" t="s">
        <v>123</v>
      </c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 t="s">
        <v>143</v>
      </c>
      <c r="O15" s="9"/>
      <c r="P15" s="9"/>
      <c r="Q15" s="9" t="s">
        <v>38</v>
      </c>
      <c r="R15" s="9"/>
      <c r="S15" s="9"/>
      <c r="T15" s="9"/>
      <c r="U15" s="9"/>
      <c r="V15" s="9"/>
      <c r="W15" s="9"/>
      <c r="X15" s="9"/>
      <c r="Y15" s="9"/>
      <c r="Z15" s="9"/>
    </row>
    <row r="16" spans="1:26" x14ac:dyDescent="0.3">
      <c r="A16" s="9"/>
      <c r="B16" s="9" t="s">
        <v>114</v>
      </c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 t="s">
        <v>144</v>
      </c>
      <c r="O16" s="9"/>
      <c r="P16" s="9"/>
      <c r="Q16" s="9" t="s">
        <v>39</v>
      </c>
      <c r="R16" s="9"/>
      <c r="S16" s="9"/>
      <c r="T16" s="9"/>
      <c r="U16" s="9"/>
      <c r="V16" s="9"/>
      <c r="W16" s="9"/>
      <c r="X16" s="9"/>
      <c r="Y16" s="9"/>
      <c r="Z16" s="9"/>
    </row>
    <row r="17" spans="1:26" x14ac:dyDescent="0.3">
      <c r="A17" s="9"/>
      <c r="B17" s="9" t="s">
        <v>115</v>
      </c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 t="s">
        <v>145</v>
      </c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x14ac:dyDescent="0.3">
      <c r="A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 t="s">
        <v>146</v>
      </c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spans="1:26" x14ac:dyDescent="0.3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 t="s">
        <v>147</v>
      </c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x14ac:dyDescent="0.3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 t="s">
        <v>148</v>
      </c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x14ac:dyDescent="0.3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 t="s">
        <v>149</v>
      </c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spans="1:26" x14ac:dyDescent="0.3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spans="1:26" x14ac:dyDescent="0.3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spans="1:26" x14ac:dyDescent="0.3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spans="1:26" x14ac:dyDescent="0.3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spans="1:26" x14ac:dyDescent="0.3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spans="1:26" x14ac:dyDescent="0.3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spans="1:26" x14ac:dyDescent="0.3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spans="1:26" x14ac:dyDescent="0.3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spans="1:26" x14ac:dyDescent="0.3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spans="1:26" x14ac:dyDescent="0.3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spans="1:26" x14ac:dyDescent="0.3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26" x14ac:dyDescent="0.3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spans="1:26" x14ac:dyDescent="0.3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</sheetData>
  <pageMargins left="0.511811024" right="0.511811024" top="0.78740157499999996" bottom="0.78740157499999996" header="0.31496062000000002" footer="0.31496062000000002"/>
  <pageSetup paperSize="28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6900"/>
  </sheetPr>
  <dimension ref="A1:M30"/>
  <sheetViews>
    <sheetView showGridLines="0" tabSelected="1" zoomScale="96" zoomScaleNormal="96" zoomScaleSheetLayoutView="90" workbookViewId="0">
      <selection activeCell="O11" sqref="O11"/>
    </sheetView>
  </sheetViews>
  <sheetFormatPr defaultColWidth="9.109375" defaultRowHeight="15.6" x14ac:dyDescent="0.3"/>
  <cols>
    <col min="1" max="10" width="9.109375" style="101"/>
    <col min="11" max="11" width="9.109375" style="101" customWidth="1"/>
    <col min="12" max="16384" width="9.109375" style="101"/>
  </cols>
  <sheetData>
    <row r="1" spans="1:13" s="98" customFormat="1" ht="51.75" customHeight="1" x14ac:dyDescent="0.3">
      <c r="A1" s="316" t="s">
        <v>280</v>
      </c>
      <c r="B1" s="316"/>
      <c r="C1" s="316"/>
      <c r="D1" s="316"/>
      <c r="E1" s="316"/>
      <c r="F1" s="316"/>
      <c r="G1" s="316"/>
      <c r="H1" s="316"/>
      <c r="I1" s="316"/>
      <c r="J1" s="316"/>
      <c r="K1" s="316"/>
    </row>
    <row r="2" spans="1:13" ht="36" customHeight="1" x14ac:dyDescent="0.3">
      <c r="A2" s="317" t="s">
        <v>42</v>
      </c>
      <c r="B2" s="318"/>
      <c r="C2" s="318"/>
      <c r="D2" s="318"/>
      <c r="E2" s="318"/>
      <c r="F2" s="318"/>
      <c r="G2" s="318"/>
      <c r="H2" s="318"/>
      <c r="I2" s="318"/>
      <c r="J2" s="318"/>
      <c r="K2" s="318"/>
    </row>
    <row r="3" spans="1:13" ht="15.75" customHeight="1" x14ac:dyDescent="0.3">
      <c r="A3" s="319"/>
      <c r="B3" s="320"/>
      <c r="C3" s="320"/>
      <c r="D3" s="320"/>
      <c r="E3" s="320"/>
      <c r="F3" s="320"/>
      <c r="G3" s="320"/>
      <c r="H3" s="320"/>
      <c r="I3" s="320"/>
      <c r="J3" s="320"/>
      <c r="K3" s="320"/>
      <c r="L3" s="294"/>
      <c r="M3" s="294"/>
    </row>
    <row r="4" spans="1:13" ht="15.75" customHeight="1" x14ac:dyDescent="0.3">
      <c r="A4" s="319"/>
      <c r="B4" s="320"/>
      <c r="C4" s="320"/>
      <c r="D4" s="320"/>
      <c r="E4" s="320"/>
      <c r="F4" s="320"/>
      <c r="G4" s="320"/>
      <c r="H4" s="320"/>
      <c r="I4" s="320"/>
      <c r="J4" s="320"/>
      <c r="K4" s="320"/>
      <c r="L4" s="294"/>
      <c r="M4" s="294"/>
    </row>
    <row r="5" spans="1:13" ht="15.75" customHeight="1" x14ac:dyDescent="0.3">
      <c r="A5" s="319"/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294"/>
      <c r="M5" s="294"/>
    </row>
    <row r="6" spans="1:13" ht="15.75" customHeight="1" x14ac:dyDescent="0.3">
      <c r="A6" s="319"/>
      <c r="B6" s="320"/>
      <c r="C6" s="320"/>
      <c r="D6" s="320"/>
      <c r="E6" s="320"/>
      <c r="F6" s="320"/>
      <c r="G6" s="320"/>
      <c r="H6" s="320"/>
      <c r="I6" s="320"/>
      <c r="J6" s="320"/>
      <c r="K6" s="320"/>
      <c r="L6" s="294"/>
      <c r="M6" s="294"/>
    </row>
    <row r="7" spans="1:13" ht="15.75" customHeight="1" x14ac:dyDescent="0.3">
      <c r="A7" s="319"/>
      <c r="B7" s="320"/>
      <c r="C7" s="320"/>
      <c r="D7" s="320"/>
      <c r="E7" s="320"/>
      <c r="F7" s="320"/>
      <c r="G7" s="320"/>
      <c r="H7" s="320"/>
      <c r="I7" s="320"/>
      <c r="J7" s="320"/>
      <c r="K7" s="320"/>
      <c r="L7" s="294"/>
      <c r="M7" s="294"/>
    </row>
    <row r="8" spans="1:13" ht="15.75" customHeight="1" x14ac:dyDescent="0.3">
      <c r="A8" s="319"/>
      <c r="B8" s="320"/>
      <c r="C8" s="320"/>
      <c r="D8" s="320"/>
      <c r="E8" s="320"/>
      <c r="F8" s="320"/>
      <c r="G8" s="320"/>
      <c r="H8" s="320"/>
      <c r="I8" s="320"/>
      <c r="J8" s="320"/>
      <c r="K8" s="320"/>
      <c r="L8" s="294"/>
      <c r="M8" s="294"/>
    </row>
    <row r="9" spans="1:13" ht="15.75" customHeight="1" x14ac:dyDescent="0.3">
      <c r="A9" s="319"/>
      <c r="B9" s="320"/>
      <c r="C9" s="320"/>
      <c r="D9" s="320"/>
      <c r="E9" s="320"/>
      <c r="F9" s="320"/>
      <c r="G9" s="320"/>
      <c r="H9" s="320"/>
      <c r="I9" s="320"/>
      <c r="J9" s="320"/>
      <c r="K9" s="320"/>
      <c r="L9" s="294"/>
      <c r="M9" s="294"/>
    </row>
    <row r="10" spans="1:13" ht="15.75" customHeight="1" x14ac:dyDescent="0.3">
      <c r="A10" s="319"/>
      <c r="B10" s="320"/>
      <c r="C10" s="320"/>
      <c r="D10" s="320"/>
      <c r="E10" s="320"/>
      <c r="F10" s="320"/>
      <c r="G10" s="320"/>
      <c r="H10" s="320"/>
      <c r="I10" s="320"/>
      <c r="J10" s="320"/>
      <c r="K10" s="320"/>
      <c r="L10" s="294"/>
      <c r="M10" s="294"/>
    </row>
    <row r="11" spans="1:13" ht="15.75" customHeight="1" x14ac:dyDescent="0.3">
      <c r="A11" s="319"/>
      <c r="B11" s="320"/>
      <c r="C11" s="320"/>
      <c r="D11" s="320"/>
      <c r="E11" s="320"/>
      <c r="F11" s="320"/>
      <c r="G11" s="320"/>
      <c r="H11" s="320"/>
      <c r="I11" s="320"/>
      <c r="J11" s="320"/>
      <c r="K11" s="320"/>
      <c r="L11" s="294"/>
      <c r="M11" s="294"/>
    </row>
    <row r="12" spans="1:13" ht="15.75" customHeight="1" x14ac:dyDescent="0.3">
      <c r="A12" s="319"/>
      <c r="B12" s="320"/>
      <c r="C12" s="320"/>
      <c r="D12" s="320"/>
      <c r="E12" s="320"/>
      <c r="F12" s="320"/>
      <c r="G12" s="320"/>
      <c r="H12" s="320"/>
      <c r="I12" s="320"/>
      <c r="J12" s="320"/>
      <c r="K12" s="320"/>
    </row>
    <row r="13" spans="1:13" ht="15.75" customHeight="1" x14ac:dyDescent="0.3">
      <c r="A13" s="319"/>
      <c r="B13" s="320"/>
      <c r="C13" s="320"/>
      <c r="D13" s="320"/>
      <c r="E13" s="320"/>
      <c r="F13" s="320"/>
      <c r="G13" s="320"/>
      <c r="H13" s="320"/>
      <c r="I13" s="320"/>
      <c r="J13" s="320"/>
      <c r="K13" s="320"/>
    </row>
    <row r="14" spans="1:13" ht="15" customHeight="1" x14ac:dyDescent="0.3">
      <c r="A14" s="319"/>
      <c r="B14" s="320"/>
      <c r="C14" s="320"/>
      <c r="D14" s="320"/>
      <c r="E14" s="320"/>
      <c r="F14" s="320"/>
      <c r="G14" s="320"/>
      <c r="H14" s="320"/>
      <c r="I14" s="320"/>
      <c r="J14" s="320"/>
      <c r="K14" s="320"/>
    </row>
    <row r="15" spans="1:13" ht="15.75" customHeight="1" x14ac:dyDescent="0.3">
      <c r="A15" s="319"/>
      <c r="B15" s="320"/>
      <c r="C15" s="320"/>
      <c r="D15" s="320"/>
      <c r="E15" s="320"/>
      <c r="F15" s="320"/>
      <c r="G15" s="320"/>
      <c r="H15" s="320"/>
      <c r="I15" s="320"/>
      <c r="J15" s="320"/>
      <c r="K15" s="320"/>
    </row>
    <row r="16" spans="1:13" ht="15.75" customHeight="1" x14ac:dyDescent="0.3">
      <c r="A16" s="319"/>
      <c r="B16" s="320"/>
      <c r="C16" s="320"/>
      <c r="D16" s="320"/>
      <c r="E16" s="320"/>
      <c r="F16" s="320"/>
      <c r="G16" s="320"/>
      <c r="H16" s="320"/>
      <c r="I16" s="320"/>
      <c r="J16" s="320"/>
      <c r="K16" s="320"/>
    </row>
    <row r="17" spans="1:11" ht="15.75" customHeight="1" x14ac:dyDescent="0.3">
      <c r="A17" s="319"/>
      <c r="B17" s="320"/>
      <c r="C17" s="320"/>
      <c r="D17" s="320"/>
      <c r="E17" s="320"/>
      <c r="F17" s="320"/>
      <c r="G17" s="320"/>
      <c r="H17" s="320"/>
      <c r="I17" s="320"/>
      <c r="J17" s="320"/>
      <c r="K17" s="320"/>
    </row>
    <row r="18" spans="1:11" ht="15.75" customHeight="1" x14ac:dyDescent="0.3">
      <c r="A18" s="319"/>
      <c r="B18" s="320"/>
      <c r="C18" s="320"/>
      <c r="D18" s="320"/>
      <c r="E18" s="320"/>
      <c r="F18" s="320"/>
      <c r="G18" s="320"/>
      <c r="H18" s="320"/>
      <c r="I18" s="320"/>
      <c r="J18" s="320"/>
      <c r="K18" s="320"/>
    </row>
    <row r="19" spans="1:11" ht="15.75" customHeight="1" x14ac:dyDescent="0.3">
      <c r="A19" s="319"/>
      <c r="B19" s="320"/>
      <c r="C19" s="320"/>
      <c r="D19" s="320"/>
      <c r="E19" s="320"/>
      <c r="F19" s="320"/>
      <c r="G19" s="320"/>
      <c r="H19" s="320"/>
      <c r="I19" s="320"/>
      <c r="J19" s="320"/>
      <c r="K19" s="320"/>
    </row>
    <row r="20" spans="1:11" ht="15.75" customHeight="1" x14ac:dyDescent="0.3">
      <c r="A20" s="319"/>
      <c r="B20" s="320"/>
      <c r="C20" s="320"/>
      <c r="D20" s="320"/>
      <c r="E20" s="320"/>
      <c r="F20" s="320"/>
      <c r="G20" s="320"/>
      <c r="H20" s="320"/>
      <c r="I20" s="320"/>
      <c r="J20" s="320"/>
      <c r="K20" s="320"/>
    </row>
    <row r="21" spans="1:11" ht="15.75" customHeight="1" x14ac:dyDescent="0.3">
      <c r="A21" s="319"/>
      <c r="B21" s="320"/>
      <c r="C21" s="320"/>
      <c r="D21" s="320"/>
      <c r="E21" s="320"/>
      <c r="F21" s="320"/>
      <c r="G21" s="320"/>
      <c r="H21" s="320"/>
      <c r="I21" s="320"/>
      <c r="J21" s="320"/>
      <c r="K21" s="320"/>
    </row>
    <row r="22" spans="1:11" ht="15.75" customHeight="1" x14ac:dyDescent="0.3">
      <c r="A22" s="319"/>
      <c r="B22" s="320"/>
      <c r="C22" s="320"/>
      <c r="D22" s="320"/>
      <c r="E22" s="320"/>
      <c r="F22" s="320"/>
      <c r="G22" s="320"/>
      <c r="H22" s="320"/>
      <c r="I22" s="320"/>
      <c r="J22" s="320"/>
      <c r="K22" s="320"/>
    </row>
    <row r="23" spans="1:11" ht="15.75" customHeight="1" x14ac:dyDescent="0.3">
      <c r="A23" s="319"/>
      <c r="B23" s="320"/>
      <c r="C23" s="320"/>
      <c r="D23" s="320"/>
      <c r="E23" s="320"/>
      <c r="F23" s="320"/>
      <c r="G23" s="320"/>
      <c r="H23" s="320"/>
      <c r="I23" s="320"/>
      <c r="J23" s="320"/>
      <c r="K23" s="320"/>
    </row>
    <row r="24" spans="1:11" ht="15" customHeight="1" x14ac:dyDescent="0.3">
      <c r="A24" s="319"/>
      <c r="B24" s="320"/>
      <c r="C24" s="320"/>
      <c r="D24" s="320"/>
      <c r="E24" s="320"/>
      <c r="F24" s="320"/>
      <c r="G24" s="320"/>
      <c r="H24" s="320"/>
      <c r="I24" s="320"/>
      <c r="J24" s="320"/>
      <c r="K24" s="320"/>
    </row>
    <row r="25" spans="1:11" ht="15.75" customHeight="1" x14ac:dyDescent="0.3">
      <c r="A25" s="319"/>
      <c r="B25" s="320"/>
      <c r="C25" s="320"/>
      <c r="D25" s="320"/>
      <c r="E25" s="320"/>
      <c r="F25" s="320"/>
      <c r="G25" s="320"/>
      <c r="H25" s="320"/>
      <c r="I25" s="320"/>
      <c r="J25" s="320"/>
      <c r="K25" s="320"/>
    </row>
    <row r="26" spans="1:11" x14ac:dyDescent="0.3">
      <c r="A26" s="115"/>
      <c r="B26" s="115"/>
      <c r="C26" s="115"/>
      <c r="D26" s="115"/>
      <c r="E26" s="115"/>
      <c r="F26" s="115"/>
      <c r="G26" s="115"/>
      <c r="H26" s="115"/>
      <c r="I26" s="115"/>
      <c r="J26" s="115"/>
      <c r="K26" s="115"/>
    </row>
    <row r="28" spans="1:11" ht="36" customHeight="1" x14ac:dyDescent="0.3">
      <c r="A28" s="314" t="s">
        <v>155</v>
      </c>
      <c r="B28" s="315"/>
      <c r="C28" s="315"/>
      <c r="D28" s="315"/>
      <c r="E28" s="315"/>
      <c r="F28" s="315"/>
      <c r="G28" s="315"/>
      <c r="H28" s="315"/>
      <c r="I28" s="315"/>
      <c r="J28" s="315"/>
      <c r="K28" s="315"/>
    </row>
    <row r="29" spans="1:11" ht="322.5" customHeight="1" x14ac:dyDescent="0.3"/>
    <row r="30" spans="1:11" ht="8.25" customHeight="1" x14ac:dyDescent="0.3"/>
  </sheetData>
  <mergeCells count="4">
    <mergeCell ref="A28:K28"/>
    <mergeCell ref="A1:K1"/>
    <mergeCell ref="A2:K2"/>
    <mergeCell ref="A3:K25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PowerPoint.Slide.12" shapeId="35842" r:id="rId4">
          <objectPr defaultSize="0" autoPict="0" r:id="rId5">
            <anchor moveWithCells="1">
              <from>
                <xdr:col>0</xdr:col>
                <xdr:colOff>0</xdr:colOff>
                <xdr:row>2</xdr:row>
                <xdr:rowOff>0</xdr:rowOff>
              </from>
              <to>
                <xdr:col>10</xdr:col>
                <xdr:colOff>556260</xdr:colOff>
                <xdr:row>26</xdr:row>
                <xdr:rowOff>22860</xdr:rowOff>
              </to>
            </anchor>
          </objectPr>
        </oleObject>
      </mc:Choice>
      <mc:Fallback>
        <oleObject progId="PowerPoint.Slide.12" shapeId="35842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6900"/>
  </sheetPr>
  <dimension ref="A1:S114"/>
  <sheetViews>
    <sheetView showGridLines="0" zoomScale="60" zoomScaleNormal="60" zoomScaleSheetLayoutView="50" workbookViewId="0">
      <selection activeCell="G72" sqref="G1:I1048576"/>
    </sheetView>
  </sheetViews>
  <sheetFormatPr defaultColWidth="9.109375" defaultRowHeight="15.6" x14ac:dyDescent="0.3"/>
  <cols>
    <col min="1" max="1" width="49.88671875" style="88" customWidth="1"/>
    <col min="2" max="2" width="80.44140625" style="114" customWidth="1"/>
    <col min="3" max="3" width="8.109375" style="101" customWidth="1"/>
    <col min="4" max="4" width="17.5546875" style="114" customWidth="1"/>
    <col min="5" max="5" width="18" style="114" customWidth="1"/>
    <col min="6" max="6" width="18" style="9" customWidth="1"/>
    <col min="7" max="7" width="24.44140625" style="98" hidden="1" customWidth="1"/>
    <col min="8" max="8" width="18.5546875" style="98" hidden="1" customWidth="1"/>
    <col min="9" max="9" width="15" style="98" hidden="1" customWidth="1"/>
    <col min="10" max="10" width="19.33203125" style="101" customWidth="1"/>
    <col min="11" max="16384" width="9.109375" style="101"/>
  </cols>
  <sheetData>
    <row r="1" spans="1:19" s="98" customFormat="1" ht="30.75" customHeight="1" x14ac:dyDescent="0.3">
      <c r="A1" s="345" t="s">
        <v>266</v>
      </c>
      <c r="B1" s="346"/>
      <c r="C1" s="346"/>
      <c r="D1" s="346"/>
      <c r="E1" s="346"/>
      <c r="F1" s="346"/>
      <c r="G1" s="57"/>
      <c r="J1" s="101"/>
      <c r="K1" s="101"/>
      <c r="L1" s="101"/>
      <c r="M1" s="101"/>
      <c r="N1" s="101"/>
      <c r="O1" s="101"/>
      <c r="P1" s="101"/>
      <c r="Q1" s="101"/>
      <c r="R1" s="101"/>
      <c r="S1" s="101"/>
    </row>
    <row r="2" spans="1:19" s="98" customFormat="1" ht="36.75" customHeight="1" x14ac:dyDescent="0.3">
      <c r="A2" s="347" t="s">
        <v>500</v>
      </c>
      <c r="B2" s="348"/>
      <c r="C2" s="348"/>
      <c r="D2" s="348"/>
      <c r="E2" s="348"/>
      <c r="F2" s="349"/>
      <c r="J2" s="101"/>
      <c r="K2" s="101"/>
      <c r="L2" s="101"/>
      <c r="M2" s="101"/>
      <c r="N2" s="101"/>
      <c r="O2" s="101"/>
      <c r="P2" s="101"/>
      <c r="Q2" s="101"/>
      <c r="R2" s="101"/>
      <c r="S2" s="101"/>
    </row>
    <row r="3" spans="1:19" s="98" customFormat="1" ht="36.75" customHeight="1" x14ac:dyDescent="0.3">
      <c r="A3" s="350" t="s">
        <v>40</v>
      </c>
      <c r="B3" s="350"/>
      <c r="C3" s="350"/>
      <c r="D3" s="350"/>
      <c r="E3" s="350"/>
      <c r="F3" s="350"/>
    </row>
    <row r="4" spans="1:19" s="98" customFormat="1" ht="36.75" customHeight="1" x14ac:dyDescent="0.3">
      <c r="A4" s="76"/>
      <c r="B4" s="76"/>
      <c r="C4" s="76"/>
      <c r="D4" s="76"/>
      <c r="E4" s="76"/>
      <c r="F4" s="99"/>
    </row>
    <row r="5" spans="1:19" s="98" customFormat="1" ht="36.75" customHeight="1" x14ac:dyDescent="0.3">
      <c r="A5" s="351" t="s">
        <v>66</v>
      </c>
      <c r="B5" s="351"/>
      <c r="C5" s="351"/>
      <c r="D5" s="351"/>
      <c r="E5" s="351"/>
      <c r="F5" s="351"/>
    </row>
    <row r="6" spans="1:19" s="98" customFormat="1" ht="52.5" customHeight="1" x14ac:dyDescent="0.3">
      <c r="A6" s="94" t="s">
        <v>26</v>
      </c>
      <c r="B6" s="352" t="s">
        <v>63</v>
      </c>
      <c r="C6" s="352"/>
      <c r="D6" s="95" t="s">
        <v>64</v>
      </c>
      <c r="E6" s="95" t="s">
        <v>281</v>
      </c>
      <c r="F6" s="95" t="s">
        <v>282</v>
      </c>
    </row>
    <row r="7" spans="1:19" s="98" customFormat="1" ht="36.75" customHeight="1" x14ac:dyDescent="0.3">
      <c r="A7" s="339" t="s">
        <v>306</v>
      </c>
      <c r="B7" s="77" t="s">
        <v>184</v>
      </c>
      <c r="C7" s="338" t="s">
        <v>94</v>
      </c>
      <c r="D7" s="338" t="s">
        <v>88</v>
      </c>
      <c r="E7" s="325"/>
      <c r="F7" s="326"/>
      <c r="K7" s="101"/>
      <c r="L7" s="101"/>
      <c r="M7" s="101"/>
      <c r="N7" s="101"/>
      <c r="O7" s="101"/>
      <c r="P7" s="101"/>
      <c r="Q7" s="101"/>
      <c r="R7" s="101"/>
      <c r="S7" s="101"/>
    </row>
    <row r="8" spans="1:19" s="98" customFormat="1" ht="36.75" customHeight="1" x14ac:dyDescent="0.3">
      <c r="A8" s="339"/>
      <c r="B8" s="77" t="s">
        <v>185</v>
      </c>
      <c r="C8" s="338"/>
      <c r="D8" s="338"/>
      <c r="E8" s="325"/>
      <c r="F8" s="326"/>
      <c r="G8" s="98" t="b">
        <f>E7='[3]Indicadores e Metas'!$F$7:$F$8</f>
        <v>1</v>
      </c>
      <c r="K8" s="101"/>
      <c r="L8" s="101"/>
      <c r="M8" s="101"/>
      <c r="N8" s="101"/>
      <c r="O8" s="101"/>
      <c r="P8" s="101"/>
      <c r="Q8" s="101"/>
      <c r="R8" s="101"/>
      <c r="S8" s="101"/>
    </row>
    <row r="9" spans="1:19" s="98" customFormat="1" ht="36.75" customHeight="1" x14ac:dyDescent="0.3">
      <c r="A9" s="76"/>
      <c r="B9" s="76"/>
      <c r="C9" s="76"/>
      <c r="D9" s="76"/>
      <c r="E9" s="76"/>
      <c r="F9" s="99"/>
      <c r="J9" s="101"/>
      <c r="K9" s="101"/>
      <c r="L9" s="101"/>
      <c r="M9" s="101"/>
      <c r="N9" s="101"/>
      <c r="O9" s="101"/>
      <c r="P9" s="101"/>
      <c r="Q9" s="101"/>
      <c r="R9" s="101"/>
      <c r="S9" s="101"/>
    </row>
    <row r="10" spans="1:19" s="98" customFormat="1" ht="36.75" customHeight="1" x14ac:dyDescent="0.3">
      <c r="A10" s="351" t="s">
        <v>65</v>
      </c>
      <c r="B10" s="351"/>
      <c r="C10" s="351"/>
      <c r="D10" s="351"/>
      <c r="E10" s="351"/>
      <c r="F10" s="351"/>
      <c r="J10" s="101"/>
      <c r="K10" s="101"/>
      <c r="L10" s="101"/>
      <c r="M10" s="101"/>
      <c r="N10" s="101"/>
      <c r="O10" s="101"/>
      <c r="P10" s="101"/>
      <c r="Q10" s="101"/>
      <c r="R10" s="101"/>
      <c r="S10" s="101"/>
    </row>
    <row r="11" spans="1:19" s="98" customFormat="1" ht="52.5" customHeight="1" x14ac:dyDescent="0.3">
      <c r="A11" s="96" t="s">
        <v>27</v>
      </c>
      <c r="B11" s="355" t="s">
        <v>63</v>
      </c>
      <c r="C11" s="355"/>
      <c r="D11" s="97" t="s">
        <v>64</v>
      </c>
      <c r="E11" s="97" t="s">
        <v>281</v>
      </c>
      <c r="F11" s="97" t="s">
        <v>282</v>
      </c>
      <c r="J11" s="101"/>
      <c r="K11" s="101"/>
      <c r="L11" s="101"/>
      <c r="M11" s="101"/>
      <c r="N11" s="101"/>
      <c r="O11" s="101"/>
      <c r="P11" s="101"/>
      <c r="Q11" s="101"/>
      <c r="R11" s="101"/>
      <c r="S11" s="101"/>
    </row>
    <row r="12" spans="1:19" s="98" customFormat="1" ht="36.75" customHeight="1" x14ac:dyDescent="0.3">
      <c r="A12" s="339" t="s">
        <v>307</v>
      </c>
      <c r="B12" s="77" t="s">
        <v>186</v>
      </c>
      <c r="C12" s="338" t="s">
        <v>94</v>
      </c>
      <c r="D12" s="338" t="s">
        <v>187</v>
      </c>
      <c r="E12" s="340">
        <v>0.2</v>
      </c>
      <c r="F12" s="340">
        <v>0.2</v>
      </c>
      <c r="G12" s="98" t="b">
        <f>E12='[3]Indicadores e Metas'!$F$12:$F$13</f>
        <v>1</v>
      </c>
      <c r="J12" s="101"/>
      <c r="K12" s="101"/>
      <c r="L12" s="101"/>
      <c r="M12" s="101"/>
      <c r="N12" s="101"/>
      <c r="O12" s="101"/>
      <c r="P12" s="101"/>
      <c r="Q12" s="101"/>
      <c r="R12" s="101"/>
      <c r="S12" s="101"/>
    </row>
    <row r="13" spans="1:19" s="98" customFormat="1" ht="36.75" customHeight="1" x14ac:dyDescent="0.3">
      <c r="A13" s="339"/>
      <c r="B13" s="77" t="s">
        <v>188</v>
      </c>
      <c r="C13" s="338"/>
      <c r="D13" s="338"/>
      <c r="E13" s="341"/>
      <c r="F13" s="341"/>
      <c r="J13" s="101"/>
      <c r="K13" s="101"/>
      <c r="L13" s="101"/>
      <c r="M13" s="101"/>
      <c r="N13" s="101"/>
      <c r="O13" s="101"/>
      <c r="P13" s="101"/>
      <c r="Q13" s="101"/>
      <c r="R13" s="101"/>
      <c r="S13" s="101"/>
    </row>
    <row r="14" spans="1:19" s="98" customFormat="1" ht="36.75" customHeight="1" x14ac:dyDescent="0.3">
      <c r="A14" s="339" t="s">
        <v>308</v>
      </c>
      <c r="B14" s="77" t="s">
        <v>189</v>
      </c>
      <c r="C14" s="338" t="s">
        <v>94</v>
      </c>
      <c r="D14" s="338" t="s">
        <v>187</v>
      </c>
      <c r="E14" s="340"/>
      <c r="F14" s="340"/>
      <c r="G14" s="98" t="b">
        <f>E14='[3]Indicadores e Metas'!$F$14:$F$15</f>
        <v>1</v>
      </c>
      <c r="J14" s="101"/>
      <c r="K14" s="101"/>
      <c r="L14" s="101"/>
      <c r="M14" s="101"/>
      <c r="N14" s="101"/>
      <c r="O14" s="101"/>
      <c r="P14" s="101"/>
      <c r="Q14" s="101"/>
      <c r="R14" s="101"/>
      <c r="S14" s="101"/>
    </row>
    <row r="15" spans="1:19" s="98" customFormat="1" ht="36.75" customHeight="1" x14ac:dyDescent="0.3">
      <c r="A15" s="339"/>
      <c r="B15" s="77" t="s">
        <v>190</v>
      </c>
      <c r="C15" s="338"/>
      <c r="D15" s="338"/>
      <c r="E15" s="341"/>
      <c r="F15" s="341"/>
      <c r="J15" s="101"/>
      <c r="K15" s="101"/>
      <c r="L15" s="101"/>
      <c r="M15" s="101"/>
      <c r="N15" s="101"/>
      <c r="O15" s="101"/>
      <c r="P15" s="101"/>
      <c r="Q15" s="101"/>
      <c r="R15" s="101"/>
      <c r="S15" s="101"/>
    </row>
    <row r="16" spans="1:19" s="98" customFormat="1" ht="36.75" customHeight="1" x14ac:dyDescent="0.3">
      <c r="A16" s="339" t="s">
        <v>309</v>
      </c>
      <c r="B16" s="338" t="s">
        <v>191</v>
      </c>
      <c r="C16" s="338"/>
      <c r="D16" s="338" t="s">
        <v>187</v>
      </c>
      <c r="E16" s="342">
        <v>0.23040782718202074</v>
      </c>
      <c r="F16" s="343">
        <v>0.26079545454545455</v>
      </c>
      <c r="G16" s="98" t="b">
        <f>E16='[3]Indicadores e Metas'!$F$16:$F$17</f>
        <v>1</v>
      </c>
      <c r="H16" s="321">
        <f>'Diretrizes - Resumo'!AK24/12/'Diretrizes - Resumo'!AK19</f>
        <v>0.26079545454545455</v>
      </c>
      <c r="I16" s="354" t="b">
        <f>H16=F16</f>
        <v>1</v>
      </c>
      <c r="J16" s="101"/>
      <c r="K16" s="101"/>
      <c r="L16" s="101"/>
      <c r="M16" s="101"/>
      <c r="N16" s="101"/>
      <c r="O16" s="101"/>
      <c r="P16" s="101"/>
      <c r="Q16" s="101"/>
      <c r="R16" s="101"/>
      <c r="S16" s="101"/>
    </row>
    <row r="17" spans="1:19" s="98" customFormat="1" ht="36.75" customHeight="1" x14ac:dyDescent="0.3">
      <c r="A17" s="339"/>
      <c r="B17" s="338" t="s">
        <v>192</v>
      </c>
      <c r="C17" s="338"/>
      <c r="D17" s="338"/>
      <c r="E17" s="342"/>
      <c r="F17" s="344"/>
      <c r="H17" s="321"/>
      <c r="I17" s="354"/>
      <c r="J17" s="101"/>
      <c r="K17" s="101"/>
      <c r="L17" s="101"/>
      <c r="M17" s="101"/>
      <c r="N17" s="101"/>
      <c r="O17" s="101"/>
      <c r="P17" s="101"/>
      <c r="Q17" s="101"/>
      <c r="R17" s="101"/>
      <c r="S17" s="101"/>
    </row>
    <row r="18" spans="1:19" s="98" customFormat="1" ht="36.75" customHeight="1" x14ac:dyDescent="0.3">
      <c r="A18" s="339" t="s">
        <v>310</v>
      </c>
      <c r="B18" s="77" t="s">
        <v>193</v>
      </c>
      <c r="C18" s="338" t="s">
        <v>94</v>
      </c>
      <c r="D18" s="338" t="s">
        <v>187</v>
      </c>
      <c r="E18" s="340">
        <v>0.7</v>
      </c>
      <c r="F18" s="340">
        <v>0.7</v>
      </c>
      <c r="G18" s="98" t="b">
        <f>E18='[3]Indicadores e Metas'!$F$18:$F$19</f>
        <v>1</v>
      </c>
      <c r="J18" s="101"/>
      <c r="K18" s="101"/>
      <c r="L18" s="101"/>
      <c r="M18" s="101"/>
      <c r="N18" s="101"/>
      <c r="O18" s="101"/>
      <c r="P18" s="101"/>
      <c r="Q18" s="101"/>
      <c r="R18" s="101"/>
      <c r="S18" s="101"/>
    </row>
    <row r="19" spans="1:19" s="98" customFormat="1" ht="36.75" customHeight="1" x14ac:dyDescent="0.3">
      <c r="A19" s="339"/>
      <c r="B19" s="77" t="s">
        <v>194</v>
      </c>
      <c r="C19" s="338"/>
      <c r="D19" s="338"/>
      <c r="E19" s="341"/>
      <c r="F19" s="341"/>
      <c r="J19" s="101"/>
      <c r="K19" s="101"/>
      <c r="L19" s="101"/>
      <c r="M19" s="101"/>
      <c r="N19" s="101"/>
      <c r="O19" s="101"/>
      <c r="P19" s="101"/>
      <c r="Q19" s="101"/>
      <c r="R19" s="101"/>
      <c r="S19" s="101"/>
    </row>
    <row r="20" spans="1:19" s="98" customFormat="1" ht="36.75" customHeight="1" x14ac:dyDescent="0.3">
      <c r="A20" s="339" t="s">
        <v>311</v>
      </c>
      <c r="B20" s="77" t="s">
        <v>195</v>
      </c>
      <c r="C20" s="338" t="s">
        <v>94</v>
      </c>
      <c r="D20" s="338" t="s">
        <v>96</v>
      </c>
      <c r="E20" s="340">
        <v>0.22</v>
      </c>
      <c r="F20" s="340">
        <v>0.22</v>
      </c>
      <c r="G20" s="98" t="b">
        <f>E20='[3]Indicadores e Metas'!$F$20:$F$21</f>
        <v>1</v>
      </c>
      <c r="J20" s="101"/>
      <c r="K20" s="101"/>
      <c r="L20" s="101"/>
      <c r="M20" s="101"/>
      <c r="N20" s="101"/>
      <c r="O20" s="101"/>
      <c r="P20" s="101"/>
      <c r="Q20" s="101"/>
      <c r="R20" s="101"/>
      <c r="S20" s="101"/>
    </row>
    <row r="21" spans="1:19" s="98" customFormat="1" ht="36.75" customHeight="1" x14ac:dyDescent="0.3">
      <c r="A21" s="339"/>
      <c r="B21" s="77" t="s">
        <v>196</v>
      </c>
      <c r="C21" s="338"/>
      <c r="D21" s="338"/>
      <c r="E21" s="341"/>
      <c r="F21" s="341"/>
      <c r="J21" s="101"/>
      <c r="K21" s="101"/>
      <c r="L21" s="101"/>
      <c r="M21" s="101"/>
      <c r="N21" s="101"/>
      <c r="O21" s="101"/>
      <c r="P21" s="101"/>
      <c r="Q21" s="101"/>
      <c r="R21" s="101"/>
      <c r="S21" s="101"/>
    </row>
    <row r="22" spans="1:19" s="98" customFormat="1" ht="36.75" customHeight="1" x14ac:dyDescent="0.3">
      <c r="A22" s="339" t="s">
        <v>312</v>
      </c>
      <c r="B22" s="77" t="s">
        <v>197</v>
      </c>
      <c r="C22" s="338" t="s">
        <v>94</v>
      </c>
      <c r="D22" s="338" t="s">
        <v>96</v>
      </c>
      <c r="E22" s="340">
        <v>0.05</v>
      </c>
      <c r="F22" s="340">
        <v>0.05</v>
      </c>
      <c r="G22" s="98" t="b">
        <f>E22='[3]Indicadores e Metas'!$F$22:$F$23</f>
        <v>1</v>
      </c>
      <c r="J22" s="101"/>
      <c r="K22" s="101"/>
      <c r="L22" s="101"/>
      <c r="M22" s="101"/>
      <c r="N22" s="101"/>
      <c r="O22" s="101"/>
      <c r="P22" s="101"/>
      <c r="Q22" s="101"/>
      <c r="R22" s="101"/>
      <c r="S22" s="101"/>
    </row>
    <row r="23" spans="1:19" s="98" customFormat="1" ht="36.75" customHeight="1" x14ac:dyDescent="0.3">
      <c r="A23" s="339"/>
      <c r="B23" s="77" t="s">
        <v>198</v>
      </c>
      <c r="C23" s="338"/>
      <c r="D23" s="338"/>
      <c r="E23" s="341"/>
      <c r="F23" s="341"/>
      <c r="J23" s="101"/>
      <c r="K23" s="101"/>
      <c r="L23" s="101"/>
      <c r="M23" s="101"/>
      <c r="N23" s="101"/>
      <c r="O23" s="101"/>
      <c r="P23" s="101"/>
      <c r="Q23" s="101"/>
      <c r="R23" s="101"/>
      <c r="S23" s="101"/>
    </row>
    <row r="24" spans="1:19" s="98" customFormat="1" ht="36.75" customHeight="1" x14ac:dyDescent="0.3">
      <c r="A24" s="339" t="s">
        <v>313</v>
      </c>
      <c r="B24" s="77" t="s">
        <v>199</v>
      </c>
      <c r="C24" s="338" t="s">
        <v>94</v>
      </c>
      <c r="D24" s="338" t="s">
        <v>95</v>
      </c>
      <c r="E24" s="340">
        <v>7.0000000000000007E-2</v>
      </c>
      <c r="F24" s="340">
        <v>7.0000000000000007E-2</v>
      </c>
      <c r="G24" s="98" t="b">
        <f>E24='[3]Indicadores e Metas'!$F$24:$F$25</f>
        <v>1</v>
      </c>
      <c r="J24" s="101"/>
      <c r="K24" s="101"/>
      <c r="L24" s="101"/>
      <c r="M24" s="101"/>
      <c r="N24" s="101"/>
      <c r="O24" s="101"/>
      <c r="P24" s="101"/>
      <c r="Q24" s="101"/>
      <c r="R24" s="101"/>
      <c r="S24" s="101"/>
    </row>
    <row r="25" spans="1:19" s="98" customFormat="1" ht="36.75" customHeight="1" x14ac:dyDescent="0.3">
      <c r="A25" s="339"/>
      <c r="B25" s="77" t="s">
        <v>200</v>
      </c>
      <c r="C25" s="338"/>
      <c r="D25" s="338"/>
      <c r="E25" s="341"/>
      <c r="F25" s="341"/>
      <c r="J25" s="101"/>
      <c r="K25" s="101"/>
      <c r="L25" s="101"/>
      <c r="M25" s="101"/>
      <c r="N25" s="101"/>
      <c r="O25" s="101"/>
      <c r="P25" s="101"/>
      <c r="Q25" s="101"/>
      <c r="R25" s="101"/>
      <c r="S25" s="101"/>
    </row>
    <row r="26" spans="1:19" s="98" customFormat="1" ht="36.75" customHeight="1" x14ac:dyDescent="0.3">
      <c r="A26" s="339" t="s">
        <v>314</v>
      </c>
      <c r="B26" s="77" t="s">
        <v>201</v>
      </c>
      <c r="C26" s="338" t="s">
        <v>94</v>
      </c>
      <c r="D26" s="338" t="s">
        <v>95</v>
      </c>
      <c r="E26" s="340">
        <v>0.3</v>
      </c>
      <c r="F26" s="340">
        <v>0.3</v>
      </c>
      <c r="G26" s="98" t="b">
        <f>E26='[3]Indicadores e Metas'!$F$26:$F$27</f>
        <v>1</v>
      </c>
      <c r="J26" s="101"/>
      <c r="K26" s="101"/>
      <c r="L26" s="101"/>
      <c r="M26" s="101"/>
      <c r="N26" s="101"/>
      <c r="O26" s="101"/>
      <c r="P26" s="101"/>
      <c r="Q26" s="101"/>
      <c r="R26" s="101"/>
      <c r="S26" s="101"/>
    </row>
    <row r="27" spans="1:19" s="98" customFormat="1" ht="36.75" customHeight="1" x14ac:dyDescent="0.3">
      <c r="A27" s="339"/>
      <c r="B27" s="77" t="s">
        <v>189</v>
      </c>
      <c r="C27" s="338"/>
      <c r="D27" s="338"/>
      <c r="E27" s="341"/>
      <c r="F27" s="341"/>
      <c r="J27" s="101"/>
      <c r="K27" s="101"/>
      <c r="L27" s="101"/>
      <c r="M27" s="101"/>
      <c r="N27" s="101"/>
      <c r="O27" s="101"/>
      <c r="P27" s="101"/>
      <c r="Q27" s="101"/>
      <c r="R27" s="101"/>
      <c r="S27" s="101"/>
    </row>
    <row r="28" spans="1:19" s="98" customFormat="1" ht="36.75" customHeight="1" x14ac:dyDescent="0.3">
      <c r="A28" s="339" t="s">
        <v>315</v>
      </c>
      <c r="B28" s="77" t="s">
        <v>202</v>
      </c>
      <c r="C28" s="338" t="s">
        <v>94</v>
      </c>
      <c r="D28" s="338" t="s">
        <v>95</v>
      </c>
      <c r="E28" s="340">
        <v>0.38</v>
      </c>
      <c r="F28" s="340">
        <v>0.38</v>
      </c>
      <c r="G28" s="98" t="b">
        <f>E28='[3]Indicadores e Metas'!$F$28:$F$29</f>
        <v>1</v>
      </c>
      <c r="J28" s="101"/>
      <c r="K28" s="101"/>
      <c r="L28" s="101"/>
      <c r="M28" s="101"/>
      <c r="N28" s="101"/>
      <c r="O28" s="101"/>
      <c r="P28" s="101"/>
      <c r="Q28" s="101"/>
      <c r="R28" s="101"/>
      <c r="S28" s="101"/>
    </row>
    <row r="29" spans="1:19" s="98" customFormat="1" ht="36.75" customHeight="1" x14ac:dyDescent="0.3">
      <c r="A29" s="339"/>
      <c r="B29" s="77" t="s">
        <v>190</v>
      </c>
      <c r="C29" s="338"/>
      <c r="D29" s="338"/>
      <c r="E29" s="341"/>
      <c r="F29" s="341"/>
      <c r="J29" s="101"/>
      <c r="K29" s="101"/>
      <c r="L29" s="101"/>
      <c r="M29" s="101"/>
      <c r="N29" s="101"/>
      <c r="O29" s="101"/>
      <c r="P29" s="101"/>
      <c r="Q29" s="101"/>
      <c r="R29" s="101"/>
      <c r="S29" s="101"/>
    </row>
    <row r="30" spans="1:19" s="98" customFormat="1" ht="36.75" customHeight="1" x14ac:dyDescent="0.3">
      <c r="A30" s="339" t="s">
        <v>316</v>
      </c>
      <c r="B30" s="77" t="s">
        <v>203</v>
      </c>
      <c r="C30" s="338" t="s">
        <v>94</v>
      </c>
      <c r="D30" s="338" t="s">
        <v>95</v>
      </c>
      <c r="E30" s="340">
        <v>0.32</v>
      </c>
      <c r="F30" s="340">
        <v>0.32</v>
      </c>
      <c r="G30" s="98" t="b">
        <f>E30='[3]Indicadores e Metas'!$F$30:$F$31</f>
        <v>1</v>
      </c>
      <c r="J30" s="101"/>
      <c r="K30" s="101"/>
      <c r="L30" s="101"/>
      <c r="M30" s="101"/>
      <c r="N30" s="101"/>
      <c r="O30" s="101"/>
      <c r="P30" s="101"/>
      <c r="Q30" s="101"/>
      <c r="R30" s="101"/>
      <c r="S30" s="101"/>
    </row>
    <row r="31" spans="1:19" s="98" customFormat="1" ht="36.75" customHeight="1" x14ac:dyDescent="0.3">
      <c r="A31" s="339"/>
      <c r="B31" s="77" t="s">
        <v>204</v>
      </c>
      <c r="C31" s="338"/>
      <c r="D31" s="338"/>
      <c r="E31" s="341"/>
      <c r="F31" s="341"/>
      <c r="J31" s="101"/>
      <c r="K31" s="101"/>
      <c r="L31" s="101"/>
      <c r="M31" s="101"/>
      <c r="N31" s="101"/>
      <c r="O31" s="101"/>
      <c r="P31" s="101"/>
      <c r="Q31" s="101"/>
      <c r="R31" s="101"/>
      <c r="S31" s="101"/>
    </row>
    <row r="32" spans="1:19" s="98" customFormat="1" ht="52.5" customHeight="1" x14ac:dyDescent="0.3">
      <c r="A32" s="10" t="s">
        <v>28</v>
      </c>
      <c r="B32" s="327" t="s">
        <v>63</v>
      </c>
      <c r="C32" s="327"/>
      <c r="D32" s="11" t="s">
        <v>64</v>
      </c>
      <c r="E32" s="11" t="s">
        <v>281</v>
      </c>
      <c r="F32" s="11" t="s">
        <v>282</v>
      </c>
      <c r="J32" s="101"/>
      <c r="K32" s="101"/>
      <c r="L32" s="101"/>
      <c r="M32" s="101"/>
      <c r="N32" s="101"/>
      <c r="O32" s="101"/>
      <c r="P32" s="101"/>
      <c r="Q32" s="101"/>
      <c r="R32" s="101"/>
      <c r="S32" s="101"/>
    </row>
    <row r="33" spans="1:19" s="98" customFormat="1" ht="36.75" customHeight="1" x14ac:dyDescent="0.3">
      <c r="A33" s="339" t="s">
        <v>317</v>
      </c>
      <c r="B33" s="77" t="s">
        <v>205</v>
      </c>
      <c r="C33" s="338" t="s">
        <v>94</v>
      </c>
      <c r="D33" s="338" t="s">
        <v>89</v>
      </c>
      <c r="E33" s="325">
        <v>0.9</v>
      </c>
      <c r="F33" s="325">
        <v>0.9</v>
      </c>
      <c r="G33" s="98" t="b">
        <f>E33='[3]Indicadores e Metas'!$F$33:$F$34</f>
        <v>1</v>
      </c>
      <c r="J33" s="101"/>
      <c r="K33" s="101"/>
      <c r="L33" s="101"/>
      <c r="M33" s="101"/>
      <c r="N33" s="101"/>
      <c r="O33" s="101"/>
      <c r="P33" s="101"/>
      <c r="Q33" s="101"/>
      <c r="R33" s="101"/>
      <c r="S33" s="101"/>
    </row>
    <row r="34" spans="1:19" s="98" customFormat="1" ht="36.75" customHeight="1" x14ac:dyDescent="0.3">
      <c r="A34" s="339"/>
      <c r="B34" s="77" t="s">
        <v>206</v>
      </c>
      <c r="C34" s="338"/>
      <c r="D34" s="338"/>
      <c r="E34" s="325"/>
      <c r="F34" s="325"/>
      <c r="J34" s="101"/>
      <c r="K34" s="101"/>
      <c r="L34" s="101"/>
      <c r="M34" s="101"/>
      <c r="N34" s="101"/>
      <c r="O34" s="101"/>
      <c r="P34" s="101"/>
      <c r="Q34" s="101"/>
      <c r="R34" s="101"/>
      <c r="S34" s="101"/>
    </row>
    <row r="35" spans="1:19" s="98" customFormat="1" ht="36.75" customHeight="1" x14ac:dyDescent="0.3">
      <c r="A35" s="339" t="s">
        <v>318</v>
      </c>
      <c r="B35" s="77" t="s">
        <v>97</v>
      </c>
      <c r="C35" s="338" t="s">
        <v>94</v>
      </c>
      <c r="D35" s="338" t="s">
        <v>89</v>
      </c>
      <c r="E35" s="325">
        <v>0.95</v>
      </c>
      <c r="F35" s="325">
        <v>0.95</v>
      </c>
      <c r="G35" s="98" t="b">
        <f>E35='[3]Indicadores e Metas'!$F$35:$F$36</f>
        <v>1</v>
      </c>
      <c r="J35" s="101"/>
      <c r="K35" s="101"/>
      <c r="L35" s="101"/>
      <c r="M35" s="101"/>
      <c r="N35" s="101"/>
      <c r="O35" s="101"/>
      <c r="P35" s="101"/>
      <c r="Q35" s="101"/>
      <c r="R35" s="101"/>
      <c r="S35" s="101"/>
    </row>
    <row r="36" spans="1:19" s="98" customFormat="1" ht="36.75" customHeight="1" x14ac:dyDescent="0.3">
      <c r="A36" s="339"/>
      <c r="B36" s="77" t="s">
        <v>98</v>
      </c>
      <c r="C36" s="338"/>
      <c r="D36" s="338"/>
      <c r="E36" s="325"/>
      <c r="F36" s="325"/>
      <c r="J36" s="101"/>
      <c r="K36" s="101"/>
      <c r="L36" s="101"/>
      <c r="M36" s="101"/>
      <c r="N36" s="101"/>
      <c r="O36" s="101"/>
      <c r="P36" s="101"/>
      <c r="Q36" s="101"/>
      <c r="R36" s="101"/>
      <c r="S36" s="101"/>
    </row>
    <row r="37" spans="1:19" s="98" customFormat="1" ht="36.75" customHeight="1" x14ac:dyDescent="0.3">
      <c r="A37" s="339" t="s">
        <v>319</v>
      </c>
      <c r="B37" s="77" t="s">
        <v>207</v>
      </c>
      <c r="C37" s="338" t="s">
        <v>94</v>
      </c>
      <c r="D37" s="338" t="s">
        <v>89</v>
      </c>
      <c r="E37" s="325">
        <v>0.8</v>
      </c>
      <c r="F37" s="325">
        <v>0.8</v>
      </c>
      <c r="G37" s="98" t="b">
        <f>E37='[3]Indicadores e Metas'!$F$37:$F$38</f>
        <v>1</v>
      </c>
      <c r="J37" s="101"/>
      <c r="K37" s="101"/>
      <c r="L37" s="101"/>
      <c r="M37" s="101"/>
      <c r="N37" s="101"/>
      <c r="O37" s="101"/>
      <c r="P37" s="101"/>
      <c r="Q37" s="101"/>
      <c r="R37" s="101"/>
      <c r="S37" s="101"/>
    </row>
    <row r="38" spans="1:19" s="98" customFormat="1" ht="36.75" customHeight="1" x14ac:dyDescent="0.3">
      <c r="A38" s="339"/>
      <c r="B38" s="77" t="s">
        <v>208</v>
      </c>
      <c r="C38" s="338"/>
      <c r="D38" s="338"/>
      <c r="E38" s="325"/>
      <c r="F38" s="325"/>
      <c r="J38" s="101"/>
      <c r="K38" s="101"/>
      <c r="L38" s="101"/>
      <c r="M38" s="101"/>
      <c r="N38" s="101"/>
      <c r="O38" s="101"/>
      <c r="P38" s="101"/>
      <c r="Q38" s="101"/>
      <c r="R38" s="101"/>
      <c r="S38" s="101"/>
    </row>
    <row r="39" spans="1:19" s="98" customFormat="1" ht="52.5" customHeight="1" x14ac:dyDescent="0.3">
      <c r="A39" s="10" t="s">
        <v>29</v>
      </c>
      <c r="B39" s="327" t="s">
        <v>63</v>
      </c>
      <c r="C39" s="327"/>
      <c r="D39" s="11" t="s">
        <v>64</v>
      </c>
      <c r="E39" s="11" t="s">
        <v>281</v>
      </c>
      <c r="F39" s="11" t="s">
        <v>282</v>
      </c>
      <c r="J39" s="101"/>
      <c r="K39" s="101"/>
      <c r="L39" s="101"/>
      <c r="M39" s="101"/>
      <c r="N39" s="101"/>
      <c r="O39" s="101"/>
      <c r="P39" s="101"/>
      <c r="Q39" s="101"/>
      <c r="R39" s="101"/>
      <c r="S39" s="101"/>
    </row>
    <row r="40" spans="1:19" s="98" customFormat="1" ht="36.75" customHeight="1" x14ac:dyDescent="0.3">
      <c r="A40" s="322" t="s">
        <v>320</v>
      </c>
      <c r="B40" s="80" t="s">
        <v>209</v>
      </c>
      <c r="C40" s="338" t="s">
        <v>94</v>
      </c>
      <c r="D40" s="323" t="s">
        <v>210</v>
      </c>
      <c r="E40" s="325">
        <v>1</v>
      </c>
      <c r="F40" s="325">
        <v>1</v>
      </c>
      <c r="G40" s="98" t="b">
        <f>E40='[3]Indicadores e Metas'!$F$40:$F$41</f>
        <v>1</v>
      </c>
      <c r="J40" s="101"/>
      <c r="K40" s="101"/>
      <c r="L40" s="101"/>
      <c r="M40" s="101"/>
      <c r="N40" s="101"/>
      <c r="O40" s="101"/>
      <c r="P40" s="101"/>
      <c r="Q40" s="101"/>
      <c r="R40" s="101"/>
      <c r="S40" s="101"/>
    </row>
    <row r="41" spans="1:19" s="98" customFormat="1" ht="36.75" customHeight="1" x14ac:dyDescent="0.3">
      <c r="A41" s="322"/>
      <c r="B41" s="80" t="s">
        <v>211</v>
      </c>
      <c r="C41" s="338"/>
      <c r="D41" s="323"/>
      <c r="E41" s="325"/>
      <c r="F41" s="325"/>
      <c r="J41" s="101"/>
      <c r="K41" s="101"/>
      <c r="L41" s="101"/>
      <c r="M41" s="101"/>
      <c r="N41" s="101"/>
      <c r="O41" s="101"/>
      <c r="P41" s="101"/>
      <c r="Q41" s="101"/>
      <c r="R41" s="101"/>
      <c r="S41" s="101"/>
    </row>
    <row r="42" spans="1:19" s="98" customFormat="1" ht="36.75" hidden="1" customHeight="1" x14ac:dyDescent="0.3">
      <c r="A42" s="322" t="s">
        <v>321</v>
      </c>
      <c r="B42" s="80" t="s">
        <v>212</v>
      </c>
      <c r="C42" s="338" t="s">
        <v>94</v>
      </c>
      <c r="D42" s="323" t="s">
        <v>96</v>
      </c>
      <c r="E42" s="325"/>
      <c r="F42" s="326"/>
      <c r="G42" s="98" t="b">
        <f>E42='[3]Indicadores e Metas'!$F$41</f>
        <v>1</v>
      </c>
      <c r="J42" s="101"/>
      <c r="K42" s="101"/>
      <c r="L42" s="101"/>
      <c r="M42" s="101"/>
      <c r="N42" s="101"/>
      <c r="O42" s="101"/>
      <c r="P42" s="101"/>
      <c r="Q42" s="101"/>
      <c r="R42" s="101"/>
      <c r="S42" s="101"/>
    </row>
    <row r="43" spans="1:19" s="98" customFormat="1" ht="36.75" hidden="1" customHeight="1" x14ac:dyDescent="0.3">
      <c r="A43" s="322"/>
      <c r="B43" s="80" t="s">
        <v>213</v>
      </c>
      <c r="C43" s="338"/>
      <c r="D43" s="323"/>
      <c r="E43" s="325"/>
      <c r="F43" s="326"/>
      <c r="J43" s="101"/>
      <c r="K43" s="101"/>
      <c r="L43" s="101"/>
      <c r="M43" s="101"/>
      <c r="N43" s="101"/>
      <c r="O43" s="101"/>
      <c r="P43" s="101"/>
      <c r="Q43" s="101"/>
      <c r="R43" s="101"/>
      <c r="S43" s="101"/>
    </row>
    <row r="44" spans="1:19" s="98" customFormat="1" ht="36.75" hidden="1" customHeight="1" x14ac:dyDescent="0.3">
      <c r="A44" s="322" t="s">
        <v>322</v>
      </c>
      <c r="B44" s="324" t="s">
        <v>214</v>
      </c>
      <c r="C44" s="324"/>
      <c r="D44" s="323" t="s">
        <v>96</v>
      </c>
      <c r="E44" s="325"/>
      <c r="F44" s="326"/>
      <c r="G44" s="98" t="b">
        <f>E44='[3]Indicadores e Metas'!$F$44:$F$45</f>
        <v>1</v>
      </c>
      <c r="J44" s="101"/>
      <c r="K44" s="101"/>
      <c r="L44" s="101"/>
      <c r="M44" s="101"/>
      <c r="N44" s="101"/>
      <c r="O44" s="101"/>
      <c r="P44" s="101"/>
      <c r="Q44" s="101"/>
      <c r="R44" s="101"/>
      <c r="S44" s="101"/>
    </row>
    <row r="45" spans="1:19" s="98" customFormat="1" ht="36.75" hidden="1" customHeight="1" x14ac:dyDescent="0.3">
      <c r="A45" s="322"/>
      <c r="B45" s="324" t="s">
        <v>215</v>
      </c>
      <c r="C45" s="324"/>
      <c r="D45" s="323"/>
      <c r="E45" s="325"/>
      <c r="F45" s="326"/>
      <c r="J45" s="101"/>
      <c r="K45" s="101"/>
      <c r="L45" s="101"/>
      <c r="M45" s="101"/>
      <c r="N45" s="101"/>
      <c r="O45" s="101"/>
      <c r="P45" s="101"/>
      <c r="Q45" s="101"/>
      <c r="R45" s="101"/>
      <c r="S45" s="101"/>
    </row>
    <row r="46" spans="1:19" s="98" customFormat="1" ht="36.75" hidden="1" customHeight="1" x14ac:dyDescent="0.3">
      <c r="A46" s="322" t="s">
        <v>323</v>
      </c>
      <c r="B46" s="80" t="s">
        <v>216</v>
      </c>
      <c r="C46" s="324" t="s">
        <v>94</v>
      </c>
      <c r="D46" s="323" t="s">
        <v>96</v>
      </c>
      <c r="E46" s="325"/>
      <c r="F46" s="326"/>
      <c r="G46" s="98" t="b">
        <f>E46='[3]Indicadores e Metas'!$F$46:$F$47</f>
        <v>1</v>
      </c>
      <c r="J46" s="101"/>
      <c r="K46" s="101"/>
      <c r="L46" s="101"/>
      <c r="M46" s="101"/>
      <c r="N46" s="101"/>
      <c r="O46" s="101"/>
      <c r="P46" s="101"/>
      <c r="Q46" s="101"/>
      <c r="R46" s="101"/>
      <c r="S46" s="101"/>
    </row>
    <row r="47" spans="1:19" ht="36.75" hidden="1" customHeight="1" x14ac:dyDescent="0.3">
      <c r="A47" s="322"/>
      <c r="B47" s="80" t="s">
        <v>217</v>
      </c>
      <c r="C47" s="324"/>
      <c r="D47" s="323"/>
      <c r="E47" s="325"/>
      <c r="F47" s="326"/>
      <c r="H47" s="81"/>
      <c r="I47" s="82"/>
    </row>
    <row r="48" spans="1:19" s="98" customFormat="1" ht="52.5" hidden="1" customHeight="1" x14ac:dyDescent="0.3">
      <c r="A48" s="10" t="s">
        <v>30</v>
      </c>
      <c r="B48" s="327" t="s">
        <v>63</v>
      </c>
      <c r="C48" s="327"/>
      <c r="D48" s="11" t="s">
        <v>64</v>
      </c>
      <c r="E48" s="11" t="s">
        <v>281</v>
      </c>
      <c r="F48" s="11" t="s">
        <v>282</v>
      </c>
      <c r="J48" s="101"/>
      <c r="K48" s="101"/>
      <c r="L48" s="101"/>
      <c r="M48" s="101"/>
      <c r="N48" s="101"/>
      <c r="O48" s="101"/>
      <c r="P48" s="101"/>
      <c r="Q48" s="101"/>
      <c r="R48" s="101"/>
      <c r="S48" s="101"/>
    </row>
    <row r="49" spans="1:19" ht="51.75" hidden="1" customHeight="1" x14ac:dyDescent="0.3">
      <c r="A49" s="8" t="s">
        <v>324</v>
      </c>
      <c r="B49" s="337" t="s">
        <v>218</v>
      </c>
      <c r="C49" s="337"/>
      <c r="D49" s="79" t="s">
        <v>88</v>
      </c>
      <c r="E49" s="83"/>
      <c r="F49" s="84"/>
      <c r="G49" s="98" t="b">
        <f>E49='[3]Indicadores e Metas'!$F$49</f>
        <v>1</v>
      </c>
    </row>
    <row r="50" spans="1:19" s="98" customFormat="1" ht="52.5" customHeight="1" x14ac:dyDescent="0.3">
      <c r="A50" s="10" t="s">
        <v>31</v>
      </c>
      <c r="B50" s="327" t="s">
        <v>63</v>
      </c>
      <c r="C50" s="327"/>
      <c r="D50" s="11" t="s">
        <v>64</v>
      </c>
      <c r="E50" s="11" t="s">
        <v>281</v>
      </c>
      <c r="F50" s="11" t="s">
        <v>282</v>
      </c>
      <c r="J50" s="101"/>
      <c r="K50" s="101"/>
      <c r="L50" s="101"/>
      <c r="M50" s="101"/>
      <c r="N50" s="101"/>
      <c r="O50" s="101"/>
      <c r="P50" s="101"/>
      <c r="Q50" s="101"/>
      <c r="R50" s="101"/>
      <c r="S50" s="101"/>
    </row>
    <row r="51" spans="1:19" ht="36.75" hidden="1" customHeight="1" x14ac:dyDescent="0.3">
      <c r="A51" s="322" t="s">
        <v>325</v>
      </c>
      <c r="B51" s="80" t="s">
        <v>219</v>
      </c>
      <c r="C51" s="324" t="s">
        <v>94</v>
      </c>
      <c r="D51" s="324" t="s">
        <v>88</v>
      </c>
      <c r="E51" s="325"/>
      <c r="F51" s="326"/>
      <c r="G51" s="98" t="b">
        <f>E51='[3]Indicadores e Metas'!$F$51:$F$52</f>
        <v>1</v>
      </c>
    </row>
    <row r="52" spans="1:19" ht="36.75" hidden="1" customHeight="1" x14ac:dyDescent="0.3">
      <c r="A52" s="322"/>
      <c r="B52" s="80" t="s">
        <v>185</v>
      </c>
      <c r="C52" s="324"/>
      <c r="D52" s="324"/>
      <c r="E52" s="325"/>
      <c r="F52" s="326"/>
    </row>
    <row r="53" spans="1:19" ht="36.75" customHeight="1" x14ac:dyDescent="0.3">
      <c r="A53" s="322" t="s">
        <v>326</v>
      </c>
      <c r="B53" s="80" t="s">
        <v>218</v>
      </c>
      <c r="C53" s="324" t="s">
        <v>94</v>
      </c>
      <c r="D53" s="324" t="s">
        <v>88</v>
      </c>
      <c r="E53" s="325">
        <v>0.02</v>
      </c>
      <c r="F53" s="325">
        <v>0.02</v>
      </c>
      <c r="G53" s="98" t="b">
        <f>E53='[3]Indicadores e Metas'!$F$53:$F$54</f>
        <v>1</v>
      </c>
    </row>
    <row r="54" spans="1:19" ht="36.75" customHeight="1" x14ac:dyDescent="0.3">
      <c r="A54" s="322"/>
      <c r="B54" s="80" t="s">
        <v>185</v>
      </c>
      <c r="C54" s="324"/>
      <c r="D54" s="324"/>
      <c r="E54" s="325"/>
      <c r="F54" s="325"/>
    </row>
    <row r="55" spans="1:19" s="98" customFormat="1" ht="52.5" customHeight="1" x14ac:dyDescent="0.3">
      <c r="A55" s="10" t="s">
        <v>32</v>
      </c>
      <c r="B55" s="327" t="s">
        <v>63</v>
      </c>
      <c r="C55" s="327"/>
      <c r="D55" s="11" t="s">
        <v>64</v>
      </c>
      <c r="E55" s="11" t="s">
        <v>281</v>
      </c>
      <c r="F55" s="11" t="s">
        <v>282</v>
      </c>
      <c r="J55" s="101"/>
      <c r="K55" s="101"/>
      <c r="L55" s="101"/>
      <c r="M55" s="101"/>
      <c r="N55" s="101"/>
      <c r="O55" s="101"/>
      <c r="P55" s="101"/>
      <c r="Q55" s="101"/>
      <c r="R55" s="101"/>
      <c r="S55" s="101"/>
    </row>
    <row r="56" spans="1:19" s="98" customFormat="1" ht="36.75" customHeight="1" x14ac:dyDescent="0.3">
      <c r="A56" s="78" t="s">
        <v>327</v>
      </c>
      <c r="B56" s="324" t="s">
        <v>220</v>
      </c>
      <c r="C56" s="324"/>
      <c r="D56" s="80" t="s">
        <v>187</v>
      </c>
      <c r="E56" s="85">
        <v>65000</v>
      </c>
      <c r="F56" s="85">
        <v>65000</v>
      </c>
      <c r="G56" s="98" t="b">
        <f>E56='[3]Indicadores e Metas'!$F$56</f>
        <v>1</v>
      </c>
      <c r="J56" s="101"/>
      <c r="K56" s="101"/>
      <c r="L56" s="101"/>
      <c r="M56" s="101"/>
      <c r="N56" s="101"/>
      <c r="O56" s="101"/>
      <c r="P56" s="101"/>
      <c r="Q56" s="101"/>
      <c r="R56" s="101"/>
      <c r="S56" s="101"/>
    </row>
    <row r="57" spans="1:19" s="98" customFormat="1" ht="36.75" hidden="1" customHeight="1" x14ac:dyDescent="0.3">
      <c r="A57" s="322" t="s">
        <v>328</v>
      </c>
      <c r="B57" s="80" t="s">
        <v>221</v>
      </c>
      <c r="C57" s="324" t="s">
        <v>94</v>
      </c>
      <c r="D57" s="324" t="s">
        <v>89</v>
      </c>
      <c r="E57" s="325"/>
      <c r="F57" s="326"/>
      <c r="G57" s="98" t="b">
        <f>E57='[3]Indicadores e Metas'!$F$57:$F$58</f>
        <v>1</v>
      </c>
      <c r="J57" s="101"/>
      <c r="K57" s="101"/>
      <c r="L57" s="101"/>
      <c r="M57" s="101"/>
      <c r="N57" s="101"/>
      <c r="O57" s="101"/>
      <c r="P57" s="101"/>
      <c r="Q57" s="101"/>
      <c r="R57" s="101"/>
      <c r="S57" s="101"/>
    </row>
    <row r="58" spans="1:19" s="98" customFormat="1" ht="36.75" hidden="1" customHeight="1" x14ac:dyDescent="0.3">
      <c r="A58" s="322"/>
      <c r="B58" s="80" t="s">
        <v>99</v>
      </c>
      <c r="C58" s="324"/>
      <c r="D58" s="324"/>
      <c r="E58" s="325"/>
      <c r="F58" s="326"/>
      <c r="J58" s="101"/>
      <c r="K58" s="101"/>
      <c r="L58" s="101"/>
      <c r="M58" s="101"/>
      <c r="N58" s="101"/>
      <c r="O58" s="101"/>
      <c r="P58" s="101"/>
      <c r="Q58" s="101"/>
      <c r="R58" s="101"/>
      <c r="S58" s="101"/>
    </row>
    <row r="59" spans="1:19" s="98" customFormat="1" ht="36.75" hidden="1" customHeight="1" x14ac:dyDescent="0.3">
      <c r="A59" s="322" t="s">
        <v>329</v>
      </c>
      <c r="B59" s="80" t="s">
        <v>222</v>
      </c>
      <c r="C59" s="324" t="s">
        <v>94</v>
      </c>
      <c r="D59" s="324" t="s">
        <v>89</v>
      </c>
      <c r="E59" s="325"/>
      <c r="F59" s="326"/>
      <c r="G59" s="98" t="b">
        <f>E59='[3]Indicadores e Metas'!$F$59:$F$60</f>
        <v>1</v>
      </c>
      <c r="J59" s="101"/>
      <c r="K59" s="101"/>
      <c r="L59" s="101"/>
      <c r="M59" s="101"/>
      <c r="N59" s="101"/>
      <c r="O59" s="101"/>
      <c r="P59" s="101"/>
      <c r="Q59" s="101"/>
      <c r="R59" s="101"/>
      <c r="S59" s="101"/>
    </row>
    <row r="60" spans="1:19" s="98" customFormat="1" ht="36.75" hidden="1" customHeight="1" x14ac:dyDescent="0.3">
      <c r="A60" s="322"/>
      <c r="B60" s="80" t="s">
        <v>100</v>
      </c>
      <c r="C60" s="324"/>
      <c r="D60" s="324"/>
      <c r="E60" s="325"/>
      <c r="F60" s="326"/>
      <c r="J60" s="101"/>
      <c r="K60" s="101"/>
      <c r="L60" s="101"/>
      <c r="M60" s="101"/>
      <c r="N60" s="101"/>
      <c r="O60" s="101"/>
      <c r="P60" s="101"/>
      <c r="Q60" s="101"/>
      <c r="R60" s="101"/>
      <c r="S60" s="101"/>
    </row>
    <row r="61" spans="1:19" s="98" customFormat="1" ht="36.75" customHeight="1" x14ac:dyDescent="0.3">
      <c r="A61" s="78" t="s">
        <v>223</v>
      </c>
      <c r="B61" s="324" t="s">
        <v>224</v>
      </c>
      <c r="C61" s="324"/>
      <c r="D61" s="80" t="s">
        <v>96</v>
      </c>
      <c r="E61" s="85">
        <v>150000</v>
      </c>
      <c r="F61" s="85">
        <v>150000</v>
      </c>
      <c r="G61" s="98" t="b">
        <f>E61='[3]Indicadores e Metas'!$F$61</f>
        <v>1</v>
      </c>
      <c r="J61" s="101"/>
      <c r="K61" s="101"/>
      <c r="L61" s="101"/>
      <c r="M61" s="101"/>
      <c r="N61" s="101"/>
      <c r="O61" s="101"/>
      <c r="P61" s="101"/>
      <c r="Q61" s="101"/>
      <c r="R61" s="101"/>
      <c r="S61" s="101"/>
    </row>
    <row r="62" spans="1:19" s="98" customFormat="1" ht="52.5" customHeight="1" x14ac:dyDescent="0.3">
      <c r="A62" s="10" t="s">
        <v>33</v>
      </c>
      <c r="B62" s="327" t="s">
        <v>63</v>
      </c>
      <c r="C62" s="327"/>
      <c r="D62" s="11" t="s">
        <v>64</v>
      </c>
      <c r="E62" s="11" t="s">
        <v>281</v>
      </c>
      <c r="F62" s="11" t="s">
        <v>282</v>
      </c>
      <c r="J62" s="101"/>
      <c r="K62" s="101"/>
      <c r="L62" s="101"/>
      <c r="M62" s="101"/>
      <c r="N62" s="101"/>
      <c r="O62" s="101"/>
      <c r="P62" s="101"/>
      <c r="Q62" s="101"/>
      <c r="R62" s="101"/>
      <c r="S62" s="101"/>
    </row>
    <row r="63" spans="1:19" s="98" customFormat="1" ht="36.75" customHeight="1" x14ac:dyDescent="0.3">
      <c r="A63" s="336" t="s">
        <v>330</v>
      </c>
      <c r="B63" s="111" t="s">
        <v>225</v>
      </c>
      <c r="C63" s="324" t="s">
        <v>94</v>
      </c>
      <c r="D63" s="324" t="s">
        <v>88</v>
      </c>
      <c r="E63" s="325">
        <v>0.8</v>
      </c>
      <c r="F63" s="326">
        <v>0.5</v>
      </c>
      <c r="G63" s="98" t="b">
        <f>E63='[3]Indicadores e Metas'!$F$63:$F$64</f>
        <v>1</v>
      </c>
      <c r="J63" s="101"/>
      <c r="K63" s="101"/>
      <c r="L63" s="101"/>
      <c r="M63" s="101"/>
      <c r="N63" s="101"/>
      <c r="O63" s="101"/>
      <c r="P63" s="101"/>
      <c r="Q63" s="101"/>
      <c r="R63" s="101"/>
      <c r="S63" s="101"/>
    </row>
    <row r="64" spans="1:19" s="98" customFormat="1" ht="36.75" customHeight="1" x14ac:dyDescent="0.3">
      <c r="A64" s="336"/>
      <c r="B64" s="111" t="s">
        <v>226</v>
      </c>
      <c r="C64" s="324"/>
      <c r="D64" s="324"/>
      <c r="E64" s="325"/>
      <c r="F64" s="326"/>
      <c r="J64" s="101"/>
      <c r="K64" s="101"/>
      <c r="L64" s="101"/>
      <c r="M64" s="101"/>
      <c r="N64" s="101"/>
      <c r="O64" s="101"/>
      <c r="P64" s="101"/>
      <c r="Q64" s="101"/>
      <c r="R64" s="101"/>
      <c r="S64" s="101"/>
    </row>
    <row r="65" spans="1:19" s="98" customFormat="1" ht="36.75" customHeight="1" x14ac:dyDescent="0.3">
      <c r="A65" s="335" t="s">
        <v>331</v>
      </c>
      <c r="B65" s="112" t="s">
        <v>174</v>
      </c>
      <c r="C65" s="324" t="s">
        <v>94</v>
      </c>
      <c r="D65" s="324" t="s">
        <v>88</v>
      </c>
      <c r="E65" s="325">
        <v>0.5</v>
      </c>
      <c r="F65" s="325">
        <v>0.5</v>
      </c>
      <c r="G65" s="98" t="b">
        <f>E65='[3]Indicadores e Metas'!$F$65:$F$66</f>
        <v>1</v>
      </c>
      <c r="J65" s="101"/>
      <c r="K65" s="101"/>
      <c r="L65" s="101"/>
      <c r="M65" s="101"/>
      <c r="N65" s="101"/>
      <c r="O65" s="101"/>
      <c r="P65" s="101"/>
      <c r="Q65" s="101"/>
      <c r="R65" s="101"/>
      <c r="S65" s="101"/>
    </row>
    <row r="66" spans="1:19" s="98" customFormat="1" ht="36.75" customHeight="1" x14ac:dyDescent="0.3">
      <c r="A66" s="335"/>
      <c r="B66" s="112" t="s">
        <v>227</v>
      </c>
      <c r="C66" s="324"/>
      <c r="D66" s="324"/>
      <c r="E66" s="325"/>
      <c r="F66" s="325"/>
      <c r="J66" s="101"/>
      <c r="K66" s="101"/>
      <c r="L66" s="101"/>
      <c r="M66" s="101"/>
      <c r="N66" s="101"/>
      <c r="O66" s="101"/>
      <c r="P66" s="101"/>
      <c r="Q66" s="101"/>
      <c r="R66" s="101"/>
      <c r="S66" s="101"/>
    </row>
    <row r="67" spans="1:19" s="98" customFormat="1" ht="36.75" customHeight="1" x14ac:dyDescent="0.3">
      <c r="A67" s="322" t="s">
        <v>332</v>
      </c>
      <c r="B67" s="324" t="s">
        <v>228</v>
      </c>
      <c r="C67" s="324"/>
      <c r="D67" s="324" t="s">
        <v>96</v>
      </c>
      <c r="E67" s="328">
        <v>0.6</v>
      </c>
      <c r="F67" s="328">
        <v>0.6</v>
      </c>
      <c r="G67" s="98" t="b">
        <f>E67='[3]Indicadores e Metas'!$F$67:$F$68</f>
        <v>1</v>
      </c>
      <c r="J67" s="101"/>
      <c r="K67" s="101"/>
      <c r="L67" s="101"/>
      <c r="M67" s="101"/>
      <c r="N67" s="101"/>
      <c r="O67" s="101"/>
      <c r="P67" s="101"/>
      <c r="Q67" s="101"/>
      <c r="R67" s="101"/>
      <c r="S67" s="101"/>
    </row>
    <row r="68" spans="1:19" s="98" customFormat="1" ht="36.75" customHeight="1" x14ac:dyDescent="0.3">
      <c r="A68" s="322"/>
      <c r="B68" s="324" t="s">
        <v>229</v>
      </c>
      <c r="C68" s="324"/>
      <c r="D68" s="324"/>
      <c r="E68" s="328"/>
      <c r="F68" s="328"/>
      <c r="J68" s="101"/>
      <c r="K68" s="101"/>
      <c r="L68" s="101"/>
      <c r="M68" s="101"/>
      <c r="N68" s="101"/>
      <c r="O68" s="101"/>
      <c r="P68" s="101"/>
      <c r="Q68" s="101"/>
      <c r="R68" s="101"/>
      <c r="S68" s="101"/>
    </row>
    <row r="69" spans="1:19" s="98" customFormat="1" ht="52.5" customHeight="1" x14ac:dyDescent="0.3">
      <c r="A69" s="10" t="s">
        <v>34</v>
      </c>
      <c r="B69" s="327" t="s">
        <v>63</v>
      </c>
      <c r="C69" s="327"/>
      <c r="D69" s="11" t="s">
        <v>64</v>
      </c>
      <c r="E69" s="11" t="s">
        <v>281</v>
      </c>
      <c r="F69" s="11" t="s">
        <v>282</v>
      </c>
      <c r="G69" s="87"/>
      <c r="J69" s="101"/>
      <c r="K69" s="101"/>
      <c r="L69" s="101"/>
      <c r="M69" s="101"/>
      <c r="N69" s="101"/>
      <c r="O69" s="101"/>
      <c r="P69" s="101"/>
      <c r="Q69" s="101"/>
      <c r="R69" s="101"/>
      <c r="S69" s="101"/>
    </row>
    <row r="70" spans="1:19" s="98" customFormat="1" ht="36.75" customHeight="1" x14ac:dyDescent="0.3">
      <c r="A70" s="322" t="s">
        <v>333</v>
      </c>
      <c r="B70" s="324" t="s">
        <v>230</v>
      </c>
      <c r="C70" s="324"/>
      <c r="D70" s="324" t="s">
        <v>89</v>
      </c>
      <c r="E70" s="328">
        <v>1.2697790712541719</v>
      </c>
      <c r="F70" s="328">
        <v>1.2697790712541719</v>
      </c>
      <c r="G70" s="98" t="b">
        <f>E70='[3]Indicadores e Metas'!$F$70:$F$71</f>
        <v>1</v>
      </c>
      <c r="J70" s="101"/>
      <c r="K70" s="101"/>
      <c r="L70" s="101"/>
      <c r="M70" s="101"/>
      <c r="N70" s="101"/>
      <c r="O70" s="101"/>
      <c r="P70" s="101"/>
      <c r="Q70" s="101"/>
      <c r="R70" s="101"/>
      <c r="S70" s="101"/>
    </row>
    <row r="71" spans="1:19" s="98" customFormat="1" ht="36.75" customHeight="1" x14ac:dyDescent="0.3">
      <c r="A71" s="322"/>
      <c r="B71" s="324" t="s">
        <v>231</v>
      </c>
      <c r="C71" s="324"/>
      <c r="D71" s="324"/>
      <c r="E71" s="328"/>
      <c r="F71" s="328"/>
      <c r="J71" s="101"/>
      <c r="K71" s="101"/>
      <c r="L71" s="101"/>
      <c r="M71" s="101"/>
      <c r="N71" s="101"/>
      <c r="O71" s="101"/>
      <c r="P71" s="101"/>
      <c r="Q71" s="101"/>
      <c r="R71" s="101"/>
      <c r="S71" s="101"/>
    </row>
    <row r="72" spans="1:19" s="98" customFormat="1" ht="36.75" customHeight="1" x14ac:dyDescent="0.3">
      <c r="A72" s="322" t="s">
        <v>334</v>
      </c>
      <c r="B72" s="80" t="s">
        <v>169</v>
      </c>
      <c r="C72" s="324" t="s">
        <v>94</v>
      </c>
      <c r="D72" s="324" t="s">
        <v>89</v>
      </c>
      <c r="E72" s="325">
        <v>0.02</v>
      </c>
      <c r="F72" s="325">
        <v>0.02</v>
      </c>
      <c r="G72" s="98" t="b">
        <f>E72='[3]Indicadores e Metas'!$F$72:$F$73</f>
        <v>1</v>
      </c>
      <c r="J72" s="101"/>
      <c r="K72" s="101"/>
      <c r="L72" s="101"/>
      <c r="M72" s="101"/>
      <c r="N72" s="101"/>
      <c r="O72" s="101"/>
      <c r="P72" s="101"/>
      <c r="Q72" s="101"/>
      <c r="R72" s="101"/>
      <c r="S72" s="101"/>
    </row>
    <row r="73" spans="1:19" ht="36.75" customHeight="1" x14ac:dyDescent="0.3">
      <c r="A73" s="322"/>
      <c r="B73" s="80" t="s">
        <v>230</v>
      </c>
      <c r="C73" s="324"/>
      <c r="D73" s="324"/>
      <c r="E73" s="325"/>
      <c r="F73" s="325"/>
    </row>
    <row r="74" spans="1:19" s="98" customFormat="1" ht="36.75" customHeight="1" x14ac:dyDescent="0.3">
      <c r="A74" s="322" t="s">
        <v>335</v>
      </c>
      <c r="B74" s="80" t="s">
        <v>232</v>
      </c>
      <c r="C74" s="324" t="s">
        <v>94</v>
      </c>
      <c r="D74" s="324" t="s">
        <v>89</v>
      </c>
      <c r="E74" s="334">
        <v>8.5000000000000006E-3</v>
      </c>
      <c r="F74" s="334">
        <v>8.5000000000000006E-3</v>
      </c>
      <c r="G74" s="98" t="b">
        <f>E74='[3]Indicadores e Metas'!$F$74:$F$75</f>
        <v>1</v>
      </c>
    </row>
    <row r="75" spans="1:19" s="98" customFormat="1" ht="36.75" customHeight="1" x14ac:dyDescent="0.3">
      <c r="A75" s="322"/>
      <c r="B75" s="80" t="s">
        <v>230</v>
      </c>
      <c r="C75" s="324"/>
      <c r="D75" s="324"/>
      <c r="E75" s="334"/>
      <c r="F75" s="334"/>
    </row>
    <row r="76" spans="1:19" s="98" customFormat="1" ht="52.5" customHeight="1" x14ac:dyDescent="0.3">
      <c r="A76" s="10" t="s">
        <v>35</v>
      </c>
      <c r="B76" s="327" t="s">
        <v>63</v>
      </c>
      <c r="C76" s="327"/>
      <c r="D76" s="11" t="s">
        <v>64</v>
      </c>
      <c r="E76" s="11" t="s">
        <v>281</v>
      </c>
      <c r="F76" s="11" t="s">
        <v>282</v>
      </c>
      <c r="J76" s="101"/>
      <c r="K76" s="101"/>
      <c r="L76" s="101"/>
      <c r="M76" s="101"/>
      <c r="N76" s="101"/>
      <c r="O76" s="101"/>
      <c r="P76" s="101"/>
      <c r="Q76" s="101"/>
      <c r="R76" s="101"/>
      <c r="S76" s="101"/>
    </row>
    <row r="77" spans="1:19" ht="36.75" customHeight="1" x14ac:dyDescent="0.3">
      <c r="A77" s="322" t="s">
        <v>336</v>
      </c>
      <c r="B77" s="324" t="s">
        <v>233</v>
      </c>
      <c r="C77" s="324"/>
      <c r="D77" s="324" t="s">
        <v>234</v>
      </c>
      <c r="E77" s="332">
        <v>738.46762598508076</v>
      </c>
      <c r="F77" s="333">
        <v>770.10583800459631</v>
      </c>
      <c r="G77" s="98" t="b">
        <f>E77='[3]Indicadores e Metas'!$F$77:$F$78</f>
        <v>1</v>
      </c>
      <c r="H77" s="98">
        <f>'Anexo 1. Fontes e Aplicações'!F8/'Diretrizes - Resumo'!AK19</f>
        <v>770.10583795143737</v>
      </c>
      <c r="I77" s="353" t="b">
        <f>H77=F77</f>
        <v>0</v>
      </c>
    </row>
    <row r="78" spans="1:19" ht="36.75" customHeight="1" x14ac:dyDescent="0.3">
      <c r="A78" s="322"/>
      <c r="B78" s="324" t="s">
        <v>102</v>
      </c>
      <c r="C78" s="324"/>
      <c r="D78" s="324"/>
      <c r="E78" s="332"/>
      <c r="F78" s="333"/>
      <c r="I78" s="353"/>
    </row>
    <row r="79" spans="1:19" ht="36.75" customHeight="1" x14ac:dyDescent="0.3">
      <c r="A79" s="322" t="s">
        <v>337</v>
      </c>
      <c r="B79" s="80" t="s">
        <v>235</v>
      </c>
      <c r="C79" s="324" t="s">
        <v>94</v>
      </c>
      <c r="D79" s="324" t="s">
        <v>236</v>
      </c>
      <c r="E79" s="329">
        <v>0.43606771300093422</v>
      </c>
      <c r="F79" s="331">
        <v>0.40078748771810629</v>
      </c>
      <c r="G79" s="98" t="b">
        <f>E79='[3]Indicadores e Metas'!$F$79:$F$80</f>
        <v>1</v>
      </c>
      <c r="H79" s="98">
        <f>'Anexo 2. Limites Estratégicos'!N6/'Anexo 2. Limites Estratégicos'!N8</f>
        <v>0.40078748774577194</v>
      </c>
      <c r="I79" s="353" t="b">
        <f>H79=F79</f>
        <v>0</v>
      </c>
    </row>
    <row r="80" spans="1:19" ht="36.75" customHeight="1" x14ac:dyDescent="0.3">
      <c r="A80" s="322"/>
      <c r="B80" s="80" t="s">
        <v>233</v>
      </c>
      <c r="C80" s="324"/>
      <c r="D80" s="324"/>
      <c r="E80" s="329"/>
      <c r="F80" s="331"/>
      <c r="I80" s="353"/>
      <c r="L80" s="102"/>
    </row>
    <row r="81" spans="1:19" ht="36.75" customHeight="1" x14ac:dyDescent="0.3">
      <c r="A81" s="322" t="s">
        <v>338</v>
      </c>
      <c r="B81" s="324" t="s">
        <v>172</v>
      </c>
      <c r="C81" s="324"/>
      <c r="D81" s="324" t="s">
        <v>96</v>
      </c>
      <c r="E81" s="328">
        <v>65</v>
      </c>
      <c r="F81" s="328">
        <v>55</v>
      </c>
      <c r="G81" s="98" t="b">
        <f>E81='[3]Indicadores e Metas'!$F$81:$F$82</f>
        <v>1</v>
      </c>
    </row>
    <row r="82" spans="1:19" ht="36.75" customHeight="1" x14ac:dyDescent="0.3">
      <c r="A82" s="322"/>
      <c r="B82" s="324" t="s">
        <v>101</v>
      </c>
      <c r="C82" s="324"/>
      <c r="D82" s="324"/>
      <c r="E82" s="328"/>
      <c r="F82" s="328"/>
    </row>
    <row r="83" spans="1:19" ht="36.75" customHeight="1" x14ac:dyDescent="0.3">
      <c r="A83" s="322" t="s">
        <v>339</v>
      </c>
      <c r="B83" s="80" t="s">
        <v>173</v>
      </c>
      <c r="C83" s="324" t="s">
        <v>94</v>
      </c>
      <c r="D83" s="324" t="s">
        <v>95</v>
      </c>
      <c r="E83" s="329">
        <v>0.27956989247311825</v>
      </c>
      <c r="F83" s="330">
        <v>28.180399943270459</v>
      </c>
      <c r="G83" s="98" t="b">
        <f>E83='[3]Indicadores e Metas'!$F$83:$F$84</f>
        <v>1</v>
      </c>
      <c r="H83" s="98">
        <f>'Diretrizes - Resumo'!AK21</f>
        <v>28.180399943270459</v>
      </c>
      <c r="I83" s="353" t="b">
        <f>H83=F83</f>
        <v>1</v>
      </c>
    </row>
    <row r="84" spans="1:19" s="98" customFormat="1" ht="36.75" customHeight="1" x14ac:dyDescent="0.3">
      <c r="A84" s="322"/>
      <c r="B84" s="80" t="s">
        <v>237</v>
      </c>
      <c r="C84" s="324"/>
      <c r="D84" s="324"/>
      <c r="E84" s="329"/>
      <c r="F84" s="330"/>
      <c r="I84" s="353"/>
      <c r="J84" s="101"/>
      <c r="K84" s="101"/>
      <c r="L84" s="101"/>
      <c r="M84" s="101"/>
      <c r="N84" s="101"/>
      <c r="O84" s="101"/>
      <c r="P84" s="101"/>
      <c r="Q84" s="101"/>
      <c r="R84" s="101"/>
      <c r="S84" s="101"/>
    </row>
    <row r="85" spans="1:19" s="98" customFormat="1" ht="36.75" customHeight="1" x14ac:dyDescent="0.3">
      <c r="A85" s="322" t="s">
        <v>340</v>
      </c>
      <c r="B85" s="80" t="s">
        <v>103</v>
      </c>
      <c r="C85" s="324" t="s">
        <v>94</v>
      </c>
      <c r="D85" s="324" t="s">
        <v>95</v>
      </c>
      <c r="E85" s="329">
        <v>0.50212404418011902</v>
      </c>
      <c r="F85" s="330">
        <v>55.281690140845072</v>
      </c>
      <c r="G85" s="98" t="b">
        <f>E85='[3]Indicadores e Metas'!$F$85:$F$86</f>
        <v>1</v>
      </c>
      <c r="H85" s="98">
        <f>'Diretrizes - Resumo'!AK23</f>
        <v>55.281690140845072</v>
      </c>
      <c r="I85" s="353" t="b">
        <f>H85=F85</f>
        <v>1</v>
      </c>
      <c r="J85" s="101"/>
      <c r="K85" s="101"/>
      <c r="L85" s="101"/>
      <c r="M85" s="101"/>
      <c r="N85" s="101"/>
      <c r="O85" s="101"/>
      <c r="P85" s="101"/>
      <c r="Q85" s="101"/>
      <c r="R85" s="101"/>
      <c r="S85" s="101"/>
    </row>
    <row r="86" spans="1:19" s="98" customFormat="1" ht="36.75" customHeight="1" x14ac:dyDescent="0.3">
      <c r="A86" s="322"/>
      <c r="B86" s="80" t="s">
        <v>238</v>
      </c>
      <c r="C86" s="324"/>
      <c r="D86" s="324"/>
      <c r="E86" s="329"/>
      <c r="F86" s="330"/>
      <c r="I86" s="353"/>
      <c r="J86" s="101"/>
      <c r="K86" s="101"/>
      <c r="L86" s="101"/>
      <c r="M86" s="101"/>
      <c r="N86" s="101"/>
      <c r="O86" s="101"/>
      <c r="P86" s="101"/>
      <c r="Q86" s="101"/>
      <c r="R86" s="101"/>
      <c r="S86" s="101"/>
    </row>
    <row r="87" spans="1:19" s="98" customFormat="1" ht="52.5" hidden="1" customHeight="1" x14ac:dyDescent="0.3">
      <c r="A87" s="10" t="s">
        <v>36</v>
      </c>
      <c r="B87" s="327" t="s">
        <v>63</v>
      </c>
      <c r="C87" s="327"/>
      <c r="D87" s="11" t="s">
        <v>64</v>
      </c>
      <c r="E87" s="11" t="s">
        <v>281</v>
      </c>
      <c r="F87" s="11" t="s">
        <v>282</v>
      </c>
      <c r="J87" s="101"/>
      <c r="K87" s="101"/>
      <c r="L87" s="101"/>
      <c r="M87" s="101"/>
      <c r="N87" s="101"/>
      <c r="O87" s="101"/>
      <c r="P87" s="101"/>
      <c r="Q87" s="101"/>
      <c r="R87" s="101"/>
      <c r="S87" s="101"/>
    </row>
    <row r="88" spans="1:19" s="98" customFormat="1" ht="36.75" hidden="1" customHeight="1" x14ac:dyDescent="0.3">
      <c r="A88" s="322" t="s">
        <v>341</v>
      </c>
      <c r="B88" s="80" t="s">
        <v>239</v>
      </c>
      <c r="C88" s="324" t="s">
        <v>94</v>
      </c>
      <c r="D88" s="324" t="s">
        <v>236</v>
      </c>
      <c r="E88" s="325"/>
      <c r="F88" s="326"/>
      <c r="G88" s="98" t="b">
        <f>E88='[3]Indicadores e Metas'!$F$88:$F$89</f>
        <v>1</v>
      </c>
      <c r="J88" s="101"/>
      <c r="K88" s="101"/>
      <c r="L88" s="101"/>
      <c r="M88" s="101"/>
      <c r="N88" s="101"/>
      <c r="O88" s="101"/>
      <c r="P88" s="101"/>
      <c r="Q88" s="101"/>
      <c r="R88" s="101"/>
      <c r="S88" s="101"/>
    </row>
    <row r="89" spans="1:19" s="98" customFormat="1" ht="36.75" hidden="1" customHeight="1" x14ac:dyDescent="0.3">
      <c r="A89" s="322"/>
      <c r="B89" s="80" t="s">
        <v>240</v>
      </c>
      <c r="C89" s="324"/>
      <c r="D89" s="324"/>
      <c r="E89" s="325"/>
      <c r="F89" s="326"/>
      <c r="J89" s="101"/>
      <c r="K89" s="101"/>
      <c r="L89" s="101"/>
      <c r="M89" s="101"/>
      <c r="N89" s="101"/>
      <c r="O89" s="101"/>
      <c r="P89" s="101"/>
      <c r="Q89" s="101"/>
      <c r="R89" s="101"/>
      <c r="S89" s="101"/>
    </row>
    <row r="90" spans="1:19" s="98" customFormat="1" ht="36.75" hidden="1" customHeight="1" x14ac:dyDescent="0.3">
      <c r="A90" s="322" t="s">
        <v>342</v>
      </c>
      <c r="B90" s="80" t="s">
        <v>241</v>
      </c>
      <c r="C90" s="324" t="s">
        <v>94</v>
      </c>
      <c r="D90" s="324" t="s">
        <v>236</v>
      </c>
      <c r="E90" s="325"/>
      <c r="F90" s="326"/>
      <c r="G90" s="98" t="b">
        <f>E90='[3]Indicadores e Metas'!$F$90:$F$91</f>
        <v>1</v>
      </c>
      <c r="J90" s="101"/>
      <c r="K90" s="101"/>
      <c r="L90" s="101"/>
      <c r="M90" s="101"/>
      <c r="N90" s="101"/>
      <c r="O90" s="101"/>
      <c r="P90" s="101"/>
      <c r="Q90" s="101"/>
      <c r="R90" s="101"/>
      <c r="S90" s="101"/>
    </row>
    <row r="91" spans="1:19" s="98" customFormat="1" ht="36.75" hidden="1" customHeight="1" x14ac:dyDescent="0.3">
      <c r="A91" s="322"/>
      <c r="B91" s="80" t="s">
        <v>242</v>
      </c>
      <c r="C91" s="324"/>
      <c r="D91" s="324"/>
      <c r="E91" s="325"/>
      <c r="F91" s="326"/>
      <c r="J91" s="101"/>
      <c r="K91" s="101"/>
      <c r="L91" s="101"/>
      <c r="M91" s="101"/>
      <c r="N91" s="101"/>
      <c r="O91" s="101"/>
      <c r="P91" s="101"/>
      <c r="Q91" s="101"/>
      <c r="R91" s="101"/>
      <c r="S91" s="101"/>
    </row>
    <row r="92" spans="1:19" s="98" customFormat="1" ht="36.75" hidden="1" customHeight="1" x14ac:dyDescent="0.3">
      <c r="A92" s="322" t="s">
        <v>343</v>
      </c>
      <c r="B92" s="80" t="s">
        <v>243</v>
      </c>
      <c r="C92" s="324" t="s">
        <v>94</v>
      </c>
      <c r="D92" s="324" t="s">
        <v>236</v>
      </c>
      <c r="E92" s="325"/>
      <c r="F92" s="326"/>
      <c r="G92" s="98" t="b">
        <f>E92='[3]Indicadores e Metas'!$F$92:$F$93</f>
        <v>1</v>
      </c>
      <c r="J92" s="101"/>
      <c r="K92" s="101"/>
      <c r="L92" s="101"/>
      <c r="M92" s="101"/>
      <c r="N92" s="101"/>
      <c r="O92" s="101"/>
      <c r="P92" s="101"/>
      <c r="Q92" s="101"/>
      <c r="R92" s="101"/>
      <c r="S92" s="101"/>
    </row>
    <row r="93" spans="1:19" s="98" customFormat="1" ht="36.75" hidden="1" customHeight="1" x14ac:dyDescent="0.3">
      <c r="A93" s="322"/>
      <c r="B93" s="80" t="s">
        <v>242</v>
      </c>
      <c r="C93" s="324"/>
      <c r="D93" s="324"/>
      <c r="E93" s="325"/>
      <c r="F93" s="326"/>
      <c r="J93" s="101"/>
      <c r="K93" s="101"/>
      <c r="L93" s="101"/>
      <c r="M93" s="101"/>
      <c r="N93" s="101"/>
      <c r="O93" s="101"/>
      <c r="P93" s="101"/>
      <c r="Q93" s="101"/>
      <c r="R93" s="101"/>
      <c r="S93" s="101"/>
    </row>
    <row r="94" spans="1:19" s="98" customFormat="1" ht="52.5" customHeight="1" x14ac:dyDescent="0.3">
      <c r="A94" s="10" t="s">
        <v>37</v>
      </c>
      <c r="B94" s="327" t="s">
        <v>63</v>
      </c>
      <c r="C94" s="327"/>
      <c r="D94" s="11" t="s">
        <v>64</v>
      </c>
      <c r="E94" s="11" t="s">
        <v>281</v>
      </c>
      <c r="F94" s="11" t="s">
        <v>282</v>
      </c>
      <c r="J94" s="101"/>
      <c r="K94" s="101"/>
      <c r="L94" s="101"/>
      <c r="M94" s="101"/>
      <c r="N94" s="101"/>
      <c r="O94" s="101"/>
      <c r="P94" s="101"/>
      <c r="Q94" s="101"/>
      <c r="R94" s="101"/>
      <c r="S94" s="101"/>
    </row>
    <row r="95" spans="1:19" s="98" customFormat="1" ht="36.75" customHeight="1" x14ac:dyDescent="0.3">
      <c r="A95" s="322" t="s">
        <v>344</v>
      </c>
      <c r="B95" s="324" t="s">
        <v>104</v>
      </c>
      <c r="C95" s="324"/>
      <c r="D95" s="324" t="s">
        <v>88</v>
      </c>
      <c r="E95" s="328">
        <v>5</v>
      </c>
      <c r="F95" s="328">
        <v>5</v>
      </c>
      <c r="G95" s="100" t="b">
        <f>E95='[3]Indicadores e Metas'!$F$95:$F$96</f>
        <v>1</v>
      </c>
      <c r="J95" s="101"/>
      <c r="K95" s="101"/>
      <c r="L95" s="101"/>
      <c r="M95" s="101"/>
      <c r="N95" s="101"/>
      <c r="O95" s="101"/>
      <c r="P95" s="101"/>
      <c r="Q95" s="101"/>
      <c r="R95" s="101"/>
      <c r="S95" s="101"/>
    </row>
    <row r="96" spans="1:19" s="98" customFormat="1" ht="36.75" customHeight="1" x14ac:dyDescent="0.3">
      <c r="A96" s="322"/>
      <c r="B96" s="324" t="s">
        <v>105</v>
      </c>
      <c r="C96" s="324"/>
      <c r="D96" s="324"/>
      <c r="E96" s="328"/>
      <c r="F96" s="328"/>
      <c r="G96" s="100"/>
      <c r="J96" s="101"/>
      <c r="K96" s="101"/>
      <c r="L96" s="101"/>
      <c r="M96" s="101"/>
      <c r="N96" s="101"/>
      <c r="O96" s="101"/>
      <c r="P96" s="101"/>
      <c r="Q96" s="101"/>
      <c r="R96" s="101"/>
      <c r="S96" s="101"/>
    </row>
    <row r="97" spans="1:19" s="98" customFormat="1" ht="52.5" hidden="1" customHeight="1" x14ac:dyDescent="0.3">
      <c r="A97" s="10" t="s">
        <v>38</v>
      </c>
      <c r="B97" s="327" t="s">
        <v>63</v>
      </c>
      <c r="C97" s="327"/>
      <c r="D97" s="11" t="s">
        <v>64</v>
      </c>
      <c r="E97" s="11" t="s">
        <v>281</v>
      </c>
      <c r="F97" s="11" t="s">
        <v>282</v>
      </c>
      <c r="J97" s="101"/>
      <c r="K97" s="101"/>
      <c r="L97" s="101"/>
      <c r="M97" s="101"/>
      <c r="N97" s="101"/>
      <c r="O97" s="101"/>
      <c r="P97" s="101"/>
      <c r="Q97" s="101"/>
      <c r="R97" s="101"/>
      <c r="S97" s="101"/>
    </row>
    <row r="98" spans="1:19" s="98" customFormat="1" ht="36.75" hidden="1" customHeight="1" x14ac:dyDescent="0.3">
      <c r="A98" s="78" t="s">
        <v>244</v>
      </c>
      <c r="B98" s="324" t="s">
        <v>245</v>
      </c>
      <c r="C98" s="324"/>
      <c r="D98" s="80" t="s">
        <v>88</v>
      </c>
      <c r="E98" s="85"/>
      <c r="F98" s="86"/>
      <c r="G98" s="98" t="b">
        <f>E98='[3]Indicadores e Metas'!$F$98</f>
        <v>1</v>
      </c>
      <c r="J98" s="101"/>
      <c r="K98" s="101"/>
      <c r="L98" s="101"/>
      <c r="M98" s="101"/>
      <c r="N98" s="101"/>
      <c r="O98" s="101"/>
      <c r="P98" s="101"/>
      <c r="Q98" s="101"/>
      <c r="R98" s="101"/>
      <c r="S98" s="101"/>
    </row>
    <row r="99" spans="1:19" s="98" customFormat="1" ht="36.75" hidden="1" customHeight="1" x14ac:dyDescent="0.3">
      <c r="A99" s="322" t="s">
        <v>246</v>
      </c>
      <c r="B99" s="80" t="s">
        <v>345</v>
      </c>
      <c r="C99" s="323" t="s">
        <v>94</v>
      </c>
      <c r="D99" s="324" t="s">
        <v>96</v>
      </c>
      <c r="E99" s="325"/>
      <c r="F99" s="326"/>
      <c r="G99" s="98" t="b">
        <f>E99='[3]Indicadores e Metas'!$F$99:$F$100</f>
        <v>1</v>
      </c>
      <c r="J99" s="101"/>
      <c r="K99" s="101"/>
      <c r="L99" s="101"/>
      <c r="M99" s="101"/>
      <c r="N99" s="101"/>
      <c r="O99" s="101"/>
      <c r="P99" s="101"/>
      <c r="Q99" s="101"/>
      <c r="R99" s="101"/>
      <c r="S99" s="101"/>
    </row>
    <row r="100" spans="1:19" s="98" customFormat="1" ht="36.75" hidden="1" customHeight="1" x14ac:dyDescent="0.3">
      <c r="A100" s="322"/>
      <c r="B100" s="80" t="s">
        <v>346</v>
      </c>
      <c r="C100" s="323"/>
      <c r="D100" s="324"/>
      <c r="E100" s="325"/>
      <c r="F100" s="326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</row>
    <row r="101" spans="1:19" s="98" customFormat="1" ht="52.5" hidden="1" customHeight="1" x14ac:dyDescent="0.3">
      <c r="A101" s="10" t="s">
        <v>39</v>
      </c>
      <c r="B101" s="327" t="s">
        <v>63</v>
      </c>
      <c r="C101" s="327"/>
      <c r="D101" s="11" t="s">
        <v>64</v>
      </c>
      <c r="E101" s="11" t="s">
        <v>281</v>
      </c>
      <c r="F101" s="11" t="s">
        <v>282</v>
      </c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</row>
    <row r="102" spans="1:19" s="98" customFormat="1" ht="36.75" hidden="1" customHeight="1" x14ac:dyDescent="0.3">
      <c r="A102" s="322" t="s">
        <v>347</v>
      </c>
      <c r="B102" s="80" t="s">
        <v>170</v>
      </c>
      <c r="C102" s="323" t="s">
        <v>94</v>
      </c>
      <c r="D102" s="324" t="s">
        <v>96</v>
      </c>
      <c r="E102" s="325"/>
      <c r="F102" s="326"/>
      <c r="G102" s="98" t="b">
        <f>E102='[3]Indicadores e Metas'!$F$102:$F$103</f>
        <v>1</v>
      </c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</row>
    <row r="103" spans="1:19" ht="36.75" hidden="1" customHeight="1" x14ac:dyDescent="0.3">
      <c r="A103" s="322"/>
      <c r="B103" s="113" t="s">
        <v>106</v>
      </c>
      <c r="C103" s="323"/>
      <c r="D103" s="324"/>
      <c r="E103" s="325"/>
      <c r="F103" s="326"/>
    </row>
    <row r="104" spans="1:19" ht="36.75" hidden="1" customHeight="1" x14ac:dyDescent="0.3">
      <c r="A104" s="322" t="s">
        <v>348</v>
      </c>
      <c r="B104" s="80" t="s">
        <v>171</v>
      </c>
      <c r="C104" s="323" t="s">
        <v>94</v>
      </c>
      <c r="D104" s="324" t="s">
        <v>236</v>
      </c>
      <c r="E104" s="325"/>
      <c r="F104" s="326"/>
      <c r="G104" s="98" t="b">
        <f>F104='[3]Indicadores e Metas'!$F$104:$F$105</f>
        <v>1</v>
      </c>
    </row>
    <row r="105" spans="1:19" ht="36.75" hidden="1" customHeight="1" x14ac:dyDescent="0.3">
      <c r="A105" s="322"/>
      <c r="B105" s="113" t="s">
        <v>107</v>
      </c>
      <c r="C105" s="323"/>
      <c r="D105" s="324"/>
      <c r="E105" s="325"/>
      <c r="F105" s="326"/>
    </row>
    <row r="106" spans="1:19" ht="45" customHeight="1" x14ac:dyDescent="0.3"/>
    <row r="107" spans="1:19" ht="45" customHeight="1" x14ac:dyDescent="0.3"/>
    <row r="108" spans="1:19" ht="45" customHeight="1" x14ac:dyDescent="0.3"/>
    <row r="109" spans="1:19" ht="45" customHeight="1" x14ac:dyDescent="0.3"/>
    <row r="110" spans="1:19" ht="45" customHeight="1" x14ac:dyDescent="0.3"/>
    <row r="111" spans="1:19" ht="45" customHeight="1" x14ac:dyDescent="0.3"/>
    <row r="112" spans="1:19" ht="45" customHeight="1" x14ac:dyDescent="0.3"/>
    <row r="113" ht="45" customHeight="1" x14ac:dyDescent="0.3"/>
    <row r="114" ht="45" customHeight="1" x14ac:dyDescent="0.3"/>
  </sheetData>
  <protectedRanges>
    <protectedRange algorithmName="SHA-512" hashValue="oBu0U8UHWW1M9CSBiI+2smTKBuiu7zBMJPASzxaVW3/YfTocFsZXqoNbgPAUiXKweXnE/VLNBYi0YQjO9aRFIA==" saltValue="Uwn4xh4BFhDBBJp6oLNp+A==" spinCount="100000" sqref="E16:E17" name="Indicadores"/>
    <protectedRange algorithmName="SHA-512" hashValue="oBu0U8UHWW1M9CSBiI+2smTKBuiu7zBMJPASzxaVW3/YfTocFsZXqoNbgPAUiXKweXnE/VLNBYi0YQjO9aRFIA==" saltValue="Uwn4xh4BFhDBBJp6oLNp+A==" spinCount="100000" sqref="E77:E78" name="Indicadores_1"/>
  </protectedRanges>
  <mergeCells count="236">
    <mergeCell ref="I77:I78"/>
    <mergeCell ref="I79:I80"/>
    <mergeCell ref="I83:I84"/>
    <mergeCell ref="I85:I86"/>
    <mergeCell ref="I16:I17"/>
    <mergeCell ref="A10:F10"/>
    <mergeCell ref="B11:C11"/>
    <mergeCell ref="A12:A13"/>
    <mergeCell ref="C12:C13"/>
    <mergeCell ref="D12:D13"/>
    <mergeCell ref="E12:E13"/>
    <mergeCell ref="F12:F13"/>
    <mergeCell ref="B17:C17"/>
    <mergeCell ref="A18:A19"/>
    <mergeCell ref="C18:C19"/>
    <mergeCell ref="D18:D19"/>
    <mergeCell ref="E18:E19"/>
    <mergeCell ref="F18:F19"/>
    <mergeCell ref="A14:A15"/>
    <mergeCell ref="C14:C15"/>
    <mergeCell ref="D14:D15"/>
    <mergeCell ref="E14:E15"/>
    <mergeCell ref="F14:F15"/>
    <mergeCell ref="A16:A17"/>
    <mergeCell ref="A1:F1"/>
    <mergeCell ref="A2:F2"/>
    <mergeCell ref="A3:F3"/>
    <mergeCell ref="A5:F5"/>
    <mergeCell ref="B6:C6"/>
    <mergeCell ref="A7:A8"/>
    <mergeCell ref="C7:C8"/>
    <mergeCell ref="D7:D8"/>
    <mergeCell ref="E7:E8"/>
    <mergeCell ref="F7:F8"/>
    <mergeCell ref="B16:C16"/>
    <mergeCell ref="D16:D17"/>
    <mergeCell ref="E16:E17"/>
    <mergeCell ref="F16:F17"/>
    <mergeCell ref="A20:A21"/>
    <mergeCell ref="C20:C21"/>
    <mergeCell ref="D20:D21"/>
    <mergeCell ref="E20:E21"/>
    <mergeCell ref="F20:F21"/>
    <mergeCell ref="A22:A23"/>
    <mergeCell ref="C22:C23"/>
    <mergeCell ref="D22:D23"/>
    <mergeCell ref="E22:E23"/>
    <mergeCell ref="F22:F23"/>
    <mergeCell ref="A24:A25"/>
    <mergeCell ref="C24:C25"/>
    <mergeCell ref="D24:D25"/>
    <mergeCell ref="E24:E25"/>
    <mergeCell ref="F24:F25"/>
    <mergeCell ref="A26:A27"/>
    <mergeCell ref="C26:C27"/>
    <mergeCell ref="D26:D27"/>
    <mergeCell ref="E26:E27"/>
    <mergeCell ref="F26:F27"/>
    <mergeCell ref="B32:C32"/>
    <mergeCell ref="A33:A34"/>
    <mergeCell ref="C33:C34"/>
    <mergeCell ref="D33:D34"/>
    <mergeCell ref="E33:E34"/>
    <mergeCell ref="F33:F34"/>
    <mergeCell ref="A28:A29"/>
    <mergeCell ref="C28:C29"/>
    <mergeCell ref="D28:D29"/>
    <mergeCell ref="E28:E29"/>
    <mergeCell ref="F28:F29"/>
    <mergeCell ref="A30:A31"/>
    <mergeCell ref="C30:C31"/>
    <mergeCell ref="D30:D31"/>
    <mergeCell ref="E30:E31"/>
    <mergeCell ref="F30:F31"/>
    <mergeCell ref="B39:C39"/>
    <mergeCell ref="A40:A41"/>
    <mergeCell ref="C40:C41"/>
    <mergeCell ref="D40:D41"/>
    <mergeCell ref="E40:E41"/>
    <mergeCell ref="F40:F41"/>
    <mergeCell ref="A35:A36"/>
    <mergeCell ref="C35:C36"/>
    <mergeCell ref="D35:D36"/>
    <mergeCell ref="E35:E36"/>
    <mergeCell ref="F35:F36"/>
    <mergeCell ref="A37:A38"/>
    <mergeCell ref="C37:C38"/>
    <mergeCell ref="D37:D38"/>
    <mergeCell ref="E37:E38"/>
    <mergeCell ref="F37:F38"/>
    <mergeCell ref="B45:C45"/>
    <mergeCell ref="A46:A47"/>
    <mergeCell ref="C46:C47"/>
    <mergeCell ref="D46:D47"/>
    <mergeCell ref="E46:E47"/>
    <mergeCell ref="F46:F47"/>
    <mergeCell ref="A42:A43"/>
    <mergeCell ref="C42:C43"/>
    <mergeCell ref="D42:D43"/>
    <mergeCell ref="E42:E43"/>
    <mergeCell ref="F42:F43"/>
    <mergeCell ref="A44:A45"/>
    <mergeCell ref="B44:C44"/>
    <mergeCell ref="D44:D45"/>
    <mergeCell ref="E44:E45"/>
    <mergeCell ref="F44:F45"/>
    <mergeCell ref="E51:E52"/>
    <mergeCell ref="F51:F52"/>
    <mergeCell ref="A53:A54"/>
    <mergeCell ref="C53:C54"/>
    <mergeCell ref="D53:D54"/>
    <mergeCell ref="E53:E54"/>
    <mergeCell ref="F53:F54"/>
    <mergeCell ref="B48:C48"/>
    <mergeCell ref="B49:C49"/>
    <mergeCell ref="B50:C50"/>
    <mergeCell ref="A51:A52"/>
    <mergeCell ref="C51:C52"/>
    <mergeCell ref="D51:D52"/>
    <mergeCell ref="F57:F58"/>
    <mergeCell ref="A59:A60"/>
    <mergeCell ref="C59:C60"/>
    <mergeCell ref="D59:D60"/>
    <mergeCell ref="E59:E60"/>
    <mergeCell ref="F59:F60"/>
    <mergeCell ref="B55:C55"/>
    <mergeCell ref="B56:C56"/>
    <mergeCell ref="A57:A58"/>
    <mergeCell ref="C57:C58"/>
    <mergeCell ref="D57:D58"/>
    <mergeCell ref="E57:E58"/>
    <mergeCell ref="F63:F64"/>
    <mergeCell ref="A65:A66"/>
    <mergeCell ref="C65:C66"/>
    <mergeCell ref="D65:D66"/>
    <mergeCell ref="E65:E66"/>
    <mergeCell ref="F65:F66"/>
    <mergeCell ref="B61:C61"/>
    <mergeCell ref="B62:C62"/>
    <mergeCell ref="A63:A64"/>
    <mergeCell ref="C63:C64"/>
    <mergeCell ref="D63:D64"/>
    <mergeCell ref="E63:E64"/>
    <mergeCell ref="B69:C69"/>
    <mergeCell ref="A70:A71"/>
    <mergeCell ref="B70:C70"/>
    <mergeCell ref="D70:D71"/>
    <mergeCell ref="E70:E71"/>
    <mergeCell ref="F70:F71"/>
    <mergeCell ref="B71:C71"/>
    <mergeCell ref="A67:A68"/>
    <mergeCell ref="B67:C67"/>
    <mergeCell ref="D67:D68"/>
    <mergeCell ref="E67:E68"/>
    <mergeCell ref="F67:F68"/>
    <mergeCell ref="B68:C68"/>
    <mergeCell ref="B76:C76"/>
    <mergeCell ref="A77:A78"/>
    <mergeCell ref="B77:C77"/>
    <mergeCell ref="D77:D78"/>
    <mergeCell ref="E77:E78"/>
    <mergeCell ref="F77:F78"/>
    <mergeCell ref="B78:C78"/>
    <mergeCell ref="A72:A73"/>
    <mergeCell ref="C72:C73"/>
    <mergeCell ref="D72:D73"/>
    <mergeCell ref="E72:E73"/>
    <mergeCell ref="F72:F73"/>
    <mergeCell ref="A74:A75"/>
    <mergeCell ref="C74:C75"/>
    <mergeCell ref="D74:D75"/>
    <mergeCell ref="E74:E75"/>
    <mergeCell ref="F74:F75"/>
    <mergeCell ref="A79:A80"/>
    <mergeCell ref="C79:C80"/>
    <mergeCell ref="D79:D80"/>
    <mergeCell ref="E79:E80"/>
    <mergeCell ref="F79:F80"/>
    <mergeCell ref="A81:A82"/>
    <mergeCell ref="B81:C81"/>
    <mergeCell ref="D81:D82"/>
    <mergeCell ref="E81:E82"/>
    <mergeCell ref="F81:F82"/>
    <mergeCell ref="A85:A86"/>
    <mergeCell ref="C85:C86"/>
    <mergeCell ref="D85:D86"/>
    <mergeCell ref="E85:E86"/>
    <mergeCell ref="F85:F86"/>
    <mergeCell ref="B87:C87"/>
    <mergeCell ref="B82:C82"/>
    <mergeCell ref="A83:A84"/>
    <mergeCell ref="C83:C84"/>
    <mergeCell ref="D83:D84"/>
    <mergeCell ref="E83:E84"/>
    <mergeCell ref="F83:F84"/>
    <mergeCell ref="B96:C96"/>
    <mergeCell ref="A92:A93"/>
    <mergeCell ref="C92:C93"/>
    <mergeCell ref="D92:D93"/>
    <mergeCell ref="E92:E93"/>
    <mergeCell ref="F92:F93"/>
    <mergeCell ref="B94:C94"/>
    <mergeCell ref="A88:A89"/>
    <mergeCell ref="C88:C89"/>
    <mergeCell ref="D88:D89"/>
    <mergeCell ref="E88:E89"/>
    <mergeCell ref="F88:F89"/>
    <mergeCell ref="A90:A91"/>
    <mergeCell ref="C90:C91"/>
    <mergeCell ref="D90:D91"/>
    <mergeCell ref="E90:E91"/>
    <mergeCell ref="F90:F91"/>
    <mergeCell ref="H16:H17"/>
    <mergeCell ref="A104:A105"/>
    <mergeCell ref="C104:C105"/>
    <mergeCell ref="D104:D105"/>
    <mergeCell ref="E104:E105"/>
    <mergeCell ref="F104:F105"/>
    <mergeCell ref="F99:F100"/>
    <mergeCell ref="B101:C101"/>
    <mergeCell ref="A102:A103"/>
    <mergeCell ref="C102:C103"/>
    <mergeCell ref="D102:D103"/>
    <mergeCell ref="E102:E103"/>
    <mergeCell ref="F102:F103"/>
    <mergeCell ref="B97:C97"/>
    <mergeCell ref="B98:C98"/>
    <mergeCell ref="A99:A100"/>
    <mergeCell ref="C99:C100"/>
    <mergeCell ref="D99:D100"/>
    <mergeCell ref="E99:E100"/>
    <mergeCell ref="A95:A96"/>
    <mergeCell ref="B95:C95"/>
    <mergeCell ref="D95:D96"/>
    <mergeCell ref="E95:E96"/>
    <mergeCell ref="F95:F96"/>
  </mergeCells>
  <conditionalFormatting sqref="I79">
    <cfRule type="containsText" dxfId="80" priority="11" operator="containsText" text="Falso">
      <formula>NOT(ISERROR(SEARCH("Falso",I79)))</formula>
    </cfRule>
    <cfRule type="cellIs" dxfId="79" priority="12" operator="equal">
      <formula>TRUE</formula>
    </cfRule>
  </conditionalFormatting>
  <conditionalFormatting sqref="I83">
    <cfRule type="containsText" dxfId="78" priority="9" operator="containsText" text="Falso">
      <formula>NOT(ISERROR(SEARCH("Falso",I83)))</formula>
    </cfRule>
    <cfRule type="cellIs" dxfId="77" priority="10" operator="equal">
      <formula>TRUE</formula>
    </cfRule>
  </conditionalFormatting>
  <conditionalFormatting sqref="I85">
    <cfRule type="containsText" dxfId="76" priority="7" operator="containsText" text="Falso">
      <formula>NOT(ISERROR(SEARCH("Falso",I85)))</formula>
    </cfRule>
    <cfRule type="cellIs" dxfId="75" priority="8" operator="equal">
      <formula>TRUE</formula>
    </cfRule>
  </conditionalFormatting>
  <conditionalFormatting sqref="I16">
    <cfRule type="containsText" dxfId="74" priority="5" operator="containsText" text="Falso">
      <formula>NOT(ISERROR(SEARCH("Falso",I16)))</formula>
    </cfRule>
    <cfRule type="cellIs" dxfId="73" priority="6" operator="equal">
      <formula>TRUE</formula>
    </cfRule>
  </conditionalFormatting>
  <conditionalFormatting sqref="I77">
    <cfRule type="containsText" dxfId="72" priority="3" operator="containsText" text="Falso">
      <formula>NOT(ISERROR(SEARCH("Falso",I77)))</formula>
    </cfRule>
    <cfRule type="cellIs" dxfId="71" priority="4" operator="equal">
      <formula>TRUE</formula>
    </cfRule>
  </conditionalFormatting>
  <pageMargins left="0.511811024" right="0.511811024" top="0.78740157499999996" bottom="0.78740157499999996" header="0.31496062000000002" footer="0.31496062000000002"/>
  <pageSetup paperSize="9" scale="18" orientation="portrait" r:id="rId1"/>
  <rowBreaks count="2" manualBreakCount="2">
    <brk id="61" max="4" man="1"/>
    <brk id="75" max="4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5">
    <tabColor rgb="FFFF6900"/>
    <pageSetUpPr fitToPage="1"/>
  </sheetPr>
  <dimension ref="A1:AE47"/>
  <sheetViews>
    <sheetView showGridLines="0" topLeftCell="E36" zoomScale="60" zoomScaleNormal="60" zoomScaleSheetLayoutView="80" workbookViewId="0">
      <selection activeCell="O44" sqref="O44"/>
    </sheetView>
  </sheetViews>
  <sheetFormatPr defaultColWidth="9.109375" defaultRowHeight="15.6" x14ac:dyDescent="0.3"/>
  <cols>
    <col min="1" max="1" width="32.109375" style="9" customWidth="1"/>
    <col min="2" max="3" width="9.88671875" style="9" customWidth="1"/>
    <col min="4" max="4" width="31" style="9" customWidth="1"/>
    <col min="5" max="5" width="49.6640625" style="9" customWidth="1"/>
    <col min="6" max="6" width="35.44140625" style="9" customWidth="1"/>
    <col min="7" max="7" width="22.109375" style="9" customWidth="1"/>
    <col min="8" max="8" width="42.33203125" style="9" customWidth="1"/>
    <col min="9" max="9" width="23" style="9" customWidth="1"/>
    <col min="10" max="10" width="22.44140625" style="9" customWidth="1"/>
    <col min="11" max="11" width="26.88671875" style="9" customWidth="1"/>
    <col min="12" max="12" width="27.44140625" style="9" customWidth="1"/>
    <col min="13" max="13" width="24" style="9" customWidth="1"/>
    <col min="14" max="14" width="27.33203125" style="9" customWidth="1"/>
    <col min="15" max="15" width="15.33203125" style="9" customWidth="1"/>
    <col min="16" max="16" width="13.77734375" style="9" hidden="1" customWidth="1"/>
    <col min="17" max="17" width="15.88671875" style="9" hidden="1" customWidth="1"/>
    <col min="18" max="23" width="13.77734375" style="9" hidden="1" customWidth="1"/>
    <col min="24" max="24" width="13.6640625" style="9" hidden="1" customWidth="1"/>
    <col min="25" max="25" width="20.88671875" style="9" hidden="1" customWidth="1"/>
    <col min="26" max="26" width="17.5546875" style="9" hidden="1" customWidth="1"/>
    <col min="27" max="27" width="26.44140625" style="9" bestFit="1" customWidth="1"/>
    <col min="28" max="28" width="17.88671875" style="9" bestFit="1" customWidth="1"/>
    <col min="29" max="29" width="3.33203125" style="9" bestFit="1" customWidth="1"/>
    <col min="30" max="30" width="43.88671875" style="9" customWidth="1"/>
    <col min="31" max="16384" width="9.109375" style="9"/>
  </cols>
  <sheetData>
    <row r="1" spans="1:31" ht="64.5" customHeight="1" x14ac:dyDescent="0.3">
      <c r="A1" s="346" t="s">
        <v>267</v>
      </c>
      <c r="B1" s="346"/>
      <c r="C1" s="346"/>
      <c r="D1" s="346"/>
      <c r="E1" s="346"/>
      <c r="F1" s="346"/>
      <c r="G1" s="346"/>
      <c r="H1" s="346"/>
      <c r="I1" s="346"/>
      <c r="J1" s="346"/>
      <c r="K1" s="346"/>
      <c r="L1" s="346"/>
      <c r="M1" s="346"/>
      <c r="N1" s="346"/>
      <c r="O1" s="346"/>
    </row>
    <row r="2" spans="1:31" ht="23.25" customHeight="1" x14ac:dyDescent="0.3">
      <c r="A2" s="360" t="str">
        <f>'Indicadores e Metas'!A2</f>
        <v>CAU/BA</v>
      </c>
      <c r="B2" s="361"/>
      <c r="C2" s="361"/>
      <c r="D2" s="361"/>
      <c r="E2" s="361"/>
      <c r="F2" s="361"/>
      <c r="G2" s="361"/>
      <c r="H2" s="361"/>
      <c r="I2" s="361"/>
      <c r="J2" s="361"/>
      <c r="K2" s="361"/>
      <c r="L2" s="361"/>
      <c r="M2" s="361"/>
      <c r="N2" s="361"/>
      <c r="O2" s="362"/>
      <c r="AC2" s="20" t="s">
        <v>256</v>
      </c>
      <c r="AD2" s="20" t="s">
        <v>259</v>
      </c>
      <c r="AE2" s="20" t="s">
        <v>264</v>
      </c>
    </row>
    <row r="3" spans="1:31" ht="23.25" customHeight="1" x14ac:dyDescent="0.3">
      <c r="A3" s="360" t="s">
        <v>295</v>
      </c>
      <c r="B3" s="361"/>
      <c r="C3" s="361"/>
      <c r="D3" s="361"/>
      <c r="E3" s="361"/>
      <c r="F3" s="361"/>
      <c r="G3" s="361"/>
      <c r="H3" s="361"/>
      <c r="I3" s="361"/>
      <c r="J3" s="361"/>
      <c r="K3" s="361"/>
      <c r="L3" s="361"/>
      <c r="M3" s="361"/>
      <c r="N3" s="361"/>
      <c r="O3" s="362"/>
      <c r="AC3" s="20" t="s">
        <v>257</v>
      </c>
      <c r="AD3" s="20" t="s">
        <v>260</v>
      </c>
      <c r="AE3" s="20"/>
    </row>
    <row r="4" spans="1:31" s="99" customFormat="1" ht="23.25" customHeight="1" x14ac:dyDescent="0.3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AB4" s="20"/>
      <c r="AC4" s="110" t="s">
        <v>258</v>
      </c>
      <c r="AD4" s="20" t="s">
        <v>261</v>
      </c>
      <c r="AE4" s="110"/>
    </row>
    <row r="5" spans="1:31" ht="23.25" customHeight="1" x14ac:dyDescent="0.3">
      <c r="A5" s="351" t="s">
        <v>76</v>
      </c>
      <c r="B5" s="351"/>
      <c r="C5" s="351"/>
      <c r="D5" s="351"/>
      <c r="E5" s="351"/>
      <c r="F5" s="351"/>
      <c r="G5" s="351"/>
      <c r="H5" s="351"/>
      <c r="I5" s="351"/>
      <c r="J5" s="351"/>
      <c r="K5" s="351"/>
      <c r="L5" s="351"/>
      <c r="M5" s="351"/>
      <c r="N5" s="363" t="s">
        <v>278</v>
      </c>
      <c r="O5" s="364"/>
      <c r="Z5" s="320"/>
      <c r="AA5" s="99"/>
      <c r="AB5" s="99"/>
      <c r="AC5" s="20"/>
      <c r="AD5" s="20" t="s">
        <v>262</v>
      </c>
      <c r="AE5" s="20"/>
    </row>
    <row r="6" spans="1:31" ht="39" customHeight="1" x14ac:dyDescent="0.3">
      <c r="A6" s="327" t="s">
        <v>4</v>
      </c>
      <c r="B6" s="327" t="s">
        <v>164</v>
      </c>
      <c r="C6" s="327" t="s">
        <v>359</v>
      </c>
      <c r="D6" s="327" t="s">
        <v>5</v>
      </c>
      <c r="E6" s="327" t="s">
        <v>61</v>
      </c>
      <c r="F6" s="327" t="s">
        <v>41</v>
      </c>
      <c r="G6" s="327" t="s">
        <v>158</v>
      </c>
      <c r="H6" s="327" t="s">
        <v>77</v>
      </c>
      <c r="I6" s="327" t="s">
        <v>275</v>
      </c>
      <c r="J6" s="327" t="s">
        <v>276</v>
      </c>
      <c r="K6" s="327"/>
      <c r="L6" s="327" t="s">
        <v>277</v>
      </c>
      <c r="M6" s="327" t="s">
        <v>298</v>
      </c>
      <c r="N6" s="365"/>
      <c r="O6" s="366"/>
      <c r="Z6" s="320"/>
      <c r="AA6" s="99"/>
      <c r="AB6" s="99"/>
      <c r="AC6" s="20"/>
      <c r="AD6" s="20" t="s">
        <v>263</v>
      </c>
      <c r="AE6" s="20"/>
    </row>
    <row r="7" spans="1:31" ht="31.2" x14ac:dyDescent="0.3">
      <c r="A7" s="327"/>
      <c r="B7" s="327"/>
      <c r="C7" s="327"/>
      <c r="D7" s="327"/>
      <c r="E7" s="327"/>
      <c r="F7" s="327"/>
      <c r="G7" s="327"/>
      <c r="H7" s="327"/>
      <c r="I7" s="327"/>
      <c r="J7" s="11" t="s">
        <v>247</v>
      </c>
      <c r="K7" s="12" t="s">
        <v>248</v>
      </c>
      <c r="L7" s="327"/>
      <c r="M7" s="327"/>
      <c r="N7" s="11" t="s">
        <v>299</v>
      </c>
      <c r="O7" s="11" t="s">
        <v>268</v>
      </c>
      <c r="Z7" s="320"/>
      <c r="AA7" s="99"/>
      <c r="AB7" s="99"/>
      <c r="AC7" s="20"/>
      <c r="AD7" s="20" t="s">
        <v>258</v>
      </c>
      <c r="AE7" s="20"/>
    </row>
    <row r="8" spans="1:31" ht="78" customHeight="1" x14ac:dyDescent="0.3">
      <c r="A8" s="165" t="s">
        <v>376</v>
      </c>
      <c r="B8" s="167" t="s">
        <v>257</v>
      </c>
      <c r="C8" s="14" t="s">
        <v>259</v>
      </c>
      <c r="D8" s="165" t="s">
        <v>393</v>
      </c>
      <c r="E8" s="165" t="s">
        <v>428</v>
      </c>
      <c r="F8" s="165" t="s">
        <v>32</v>
      </c>
      <c r="G8" s="15"/>
      <c r="H8" s="13" t="s">
        <v>462</v>
      </c>
      <c r="I8" s="168">
        <v>250384.84</v>
      </c>
      <c r="J8" s="18">
        <v>77605.240000000005</v>
      </c>
      <c r="K8" s="18">
        <f>283857.27-J8</f>
        <v>206252.03000000003</v>
      </c>
      <c r="L8" s="126">
        <f>J8+K8</f>
        <v>283857.27</v>
      </c>
      <c r="M8" s="18"/>
      <c r="N8" s="127">
        <f>L8-I8</f>
        <v>33472.430000000022</v>
      </c>
      <c r="O8" s="128">
        <f>IFERROR(N8/I8*100,)</f>
        <v>13.368393230197173</v>
      </c>
      <c r="P8" s="9" t="b">
        <f>A8='[3]Quadro Geral'!$A$8</f>
        <v>1</v>
      </c>
      <c r="Q8" s="9" t="b">
        <f>B8='[3]Quadro Geral'!$B$8</f>
        <v>1</v>
      </c>
      <c r="R8" s="9" t="b">
        <f>D8='[3]Quadro Geral'!$C$8</f>
        <v>1</v>
      </c>
      <c r="S8" s="9" t="b">
        <f>E8='[3]Quadro Geral'!$D$8</f>
        <v>1</v>
      </c>
      <c r="T8" s="9" t="b">
        <f>F8='[3]Quadro Geral'!$E$8</f>
        <v>1</v>
      </c>
      <c r="U8" s="9" t="b">
        <f>G8='[3]Quadro Geral'!$F$8</f>
        <v>1</v>
      </c>
      <c r="V8" s="9" t="b">
        <f>H8='[3]Quadro Geral'!$G$8</f>
        <v>1</v>
      </c>
      <c r="W8" s="9" t="b">
        <f>I8='[3]Quadro Geral'!$I$8</f>
        <v>1</v>
      </c>
      <c r="X8" s="9" t="b">
        <f>J8=[4]Sheet!$G$42</f>
        <v>1</v>
      </c>
      <c r="Z8" s="320"/>
      <c r="AA8" s="99"/>
      <c r="AB8" s="359"/>
      <c r="AC8" s="359"/>
      <c r="AD8" s="359"/>
    </row>
    <row r="9" spans="1:31" ht="109.2" x14ac:dyDescent="0.3">
      <c r="A9" s="165" t="s">
        <v>377</v>
      </c>
      <c r="B9" s="167" t="s">
        <v>257</v>
      </c>
      <c r="C9" s="14" t="s">
        <v>259</v>
      </c>
      <c r="D9" s="165" t="s">
        <v>394</v>
      </c>
      <c r="E9" s="165" t="s">
        <v>429</v>
      </c>
      <c r="F9" s="165" t="s">
        <v>38</v>
      </c>
      <c r="G9" s="15"/>
      <c r="H9" s="165" t="s">
        <v>463</v>
      </c>
      <c r="I9" s="168">
        <v>875492.81</v>
      </c>
      <c r="J9" s="18">
        <v>265135.51</v>
      </c>
      <c r="K9" s="18">
        <f>1316862.75-J9</f>
        <v>1051727.24</v>
      </c>
      <c r="L9" s="126">
        <f t="shared" ref="L9:L42" si="0">J9+K9</f>
        <v>1316862.75</v>
      </c>
      <c r="M9" s="18"/>
      <c r="N9" s="127">
        <f t="shared" ref="N9:N42" si="1">L9-I9</f>
        <v>441369.93999999994</v>
      </c>
      <c r="O9" s="128">
        <f t="shared" ref="O9:O44" si="2">IFERROR(N9/I9*100,)</f>
        <v>50.413885180850301</v>
      </c>
      <c r="P9" s="9" t="b">
        <f>A9='[3]Quadro Geral'!$A$9</f>
        <v>1</v>
      </c>
      <c r="Q9" s="9" t="b">
        <f>B9='[3]Quadro Geral'!$B$9</f>
        <v>1</v>
      </c>
      <c r="R9" s="9" t="b">
        <f>D9='[3]Quadro Geral'!$C$9</f>
        <v>1</v>
      </c>
      <c r="S9" s="9" t="b">
        <f>E9='[3]Quadro Geral'!$D$9</f>
        <v>1</v>
      </c>
      <c r="T9" s="9" t="b">
        <f>F9='[3]Quadro Geral'!$E$9</f>
        <v>1</v>
      </c>
      <c r="U9" s="9" t="b">
        <f>G9='[3]Quadro Geral'!$F$9</f>
        <v>1</v>
      </c>
      <c r="V9" s="9" t="b">
        <f>H9='[3]Quadro Geral'!$G$9</f>
        <v>1</v>
      </c>
      <c r="W9" s="9" t="b">
        <f>I9='[3]Quadro Geral'!$I$9</f>
        <v>1</v>
      </c>
      <c r="X9" s="9" t="b">
        <f>J9=[4]Sheet!$G$80</f>
        <v>1</v>
      </c>
      <c r="Z9" s="320"/>
      <c r="AA9" s="99"/>
      <c r="AB9" s="359"/>
      <c r="AC9" s="359"/>
      <c r="AD9" s="359"/>
    </row>
    <row r="10" spans="1:31" ht="93.6" customHeight="1" x14ac:dyDescent="0.3">
      <c r="A10" s="165" t="s">
        <v>378</v>
      </c>
      <c r="B10" s="167" t="s">
        <v>257</v>
      </c>
      <c r="C10" s="14" t="s">
        <v>259</v>
      </c>
      <c r="D10" s="295" t="s">
        <v>395</v>
      </c>
      <c r="E10" s="165" t="s">
        <v>430</v>
      </c>
      <c r="F10" s="165" t="s">
        <v>128</v>
      </c>
      <c r="G10" s="15"/>
      <c r="H10" s="165" t="s">
        <v>464</v>
      </c>
      <c r="I10" s="168">
        <v>237848.5</v>
      </c>
      <c r="J10" s="18">
        <v>90057.38</v>
      </c>
      <c r="K10" s="18">
        <f>245824.94-J10</f>
        <v>155767.56</v>
      </c>
      <c r="L10" s="126">
        <f>J10+K10</f>
        <v>245824.94</v>
      </c>
      <c r="M10" s="18"/>
      <c r="N10" s="127">
        <f t="shared" si="1"/>
        <v>7976.4400000000023</v>
      </c>
      <c r="O10" s="128">
        <f>IFERROR(N10/I10*100,)</f>
        <v>3.3535801150732514</v>
      </c>
      <c r="P10" s="9" t="b">
        <f>A10='[3]Quadro Geral'!$A$10</f>
        <v>1</v>
      </c>
      <c r="Q10" s="9" t="b">
        <f>B10='[3]Quadro Geral'!$B$10</f>
        <v>1</v>
      </c>
      <c r="R10" s="9" t="b">
        <f>D10='[3]Quadro Geral'!$C$10</f>
        <v>1</v>
      </c>
      <c r="S10" s="9" t="b">
        <f>E10='[3]Quadro Geral'!$D$10</f>
        <v>1</v>
      </c>
      <c r="T10" s="9" t="b">
        <f>F10='[3]Quadro Geral'!$E$10</f>
        <v>1</v>
      </c>
      <c r="U10" s="9" t="b">
        <f>G10='[3]Quadro Geral'!$F$10</f>
        <v>1</v>
      </c>
      <c r="V10" s="9" t="b">
        <f>H10='[3]Quadro Geral'!$G$10</f>
        <v>1</v>
      </c>
      <c r="W10" s="9" t="b">
        <f>I10='[3]Quadro Geral'!$I$10</f>
        <v>1</v>
      </c>
      <c r="X10" s="292" t="b">
        <f>J10=[4]Sheet!$G$102</f>
        <v>1</v>
      </c>
      <c r="Y10"/>
    </row>
    <row r="11" spans="1:31" ht="78" x14ac:dyDescent="0.3">
      <c r="A11" s="165" t="s">
        <v>379</v>
      </c>
      <c r="B11" s="167" t="s">
        <v>257</v>
      </c>
      <c r="C11" s="14" t="s">
        <v>259</v>
      </c>
      <c r="D11" s="165" t="s">
        <v>396</v>
      </c>
      <c r="E11" s="165" t="s">
        <v>431</v>
      </c>
      <c r="F11" s="165" t="s">
        <v>33</v>
      </c>
      <c r="G11" s="15"/>
      <c r="H11" s="165" t="s">
        <v>465</v>
      </c>
      <c r="I11" s="168">
        <v>168124.89</v>
      </c>
      <c r="J11" s="18">
        <v>24737.32</v>
      </c>
      <c r="K11" s="18">
        <f>140828.34-J11</f>
        <v>116091.01999999999</v>
      </c>
      <c r="L11" s="126">
        <f t="shared" si="0"/>
        <v>140828.34</v>
      </c>
      <c r="M11" s="18"/>
      <c r="N11" s="127">
        <f>L11-I11</f>
        <v>-27296.550000000017</v>
      </c>
      <c r="O11" s="128">
        <f t="shared" si="2"/>
        <v>-16.235876793733524</v>
      </c>
      <c r="P11" s="9" t="b">
        <f>A11='[3]Quadro Geral'!$A$11</f>
        <v>1</v>
      </c>
      <c r="Q11" s="9" t="b">
        <f>B11='[3]Quadro Geral'!$B$11</f>
        <v>1</v>
      </c>
      <c r="R11" s="9" t="b">
        <f>D11='[3]Quadro Geral'!$C$11</f>
        <v>1</v>
      </c>
      <c r="S11" s="9" t="b">
        <f>E11='[3]Quadro Geral'!$D$11</f>
        <v>1</v>
      </c>
      <c r="T11" s="9" t="b">
        <f>F11='[3]Quadro Geral'!$E$11</f>
        <v>1</v>
      </c>
      <c r="U11" s="9" t="b">
        <f>G11='[3]Quadro Geral'!$F$11</f>
        <v>1</v>
      </c>
      <c r="V11" s="9" t="b">
        <f>H11='[3]Quadro Geral'!$G$11</f>
        <v>1</v>
      </c>
      <c r="W11" s="9" t="b">
        <f>I11='[3]Quadro Geral'!$I$11</f>
        <v>1</v>
      </c>
      <c r="X11" s="9" t="b">
        <f>J11=[4]Sheet!$G$114</f>
        <v>1</v>
      </c>
    </row>
    <row r="12" spans="1:31" ht="62.4" x14ac:dyDescent="0.3">
      <c r="A12" s="183" t="s">
        <v>647</v>
      </c>
      <c r="B12" s="167" t="s">
        <v>257</v>
      </c>
      <c r="C12" s="14" t="s">
        <v>259</v>
      </c>
      <c r="D12" s="165" t="s">
        <v>397</v>
      </c>
      <c r="E12" s="165" t="s">
        <v>432</v>
      </c>
      <c r="F12" s="165" t="s">
        <v>35</v>
      </c>
      <c r="G12" s="15"/>
      <c r="H12" s="165" t="s">
        <v>466</v>
      </c>
      <c r="I12" s="168">
        <f>427503.102013959+'[5]Anexo 1. Fontes e Aplicações'!J40</f>
        <v>427503.10201395774</v>
      </c>
      <c r="J12" s="18">
        <v>100715.6</v>
      </c>
      <c r="K12" s="18">
        <f>437018.22-J12+359.66</f>
        <v>336662.27999999997</v>
      </c>
      <c r="L12" s="126">
        <f t="shared" si="0"/>
        <v>437377.88</v>
      </c>
      <c r="M12" s="18"/>
      <c r="N12" s="127">
        <f t="shared" si="1"/>
        <v>9874.7779860422597</v>
      </c>
      <c r="O12" s="128">
        <f t="shared" si="2"/>
        <v>2.3098728265414676</v>
      </c>
      <c r="P12" s="99" t="b">
        <f>A12='[3]Quadro Geral'!$A$12</f>
        <v>0</v>
      </c>
      <c r="Q12" s="9" t="b">
        <f>B12='[3]Quadro Geral'!$B$12</f>
        <v>1</v>
      </c>
      <c r="R12" s="9" t="b">
        <f>D12='[3]Quadro Geral'!$C$12</f>
        <v>1</v>
      </c>
      <c r="S12" s="9" t="b">
        <f>E12='[3]Quadro Geral'!$D$12</f>
        <v>1</v>
      </c>
      <c r="T12" s="9" t="b">
        <f>F12='[3]Quadro Geral'!$E$12</f>
        <v>1</v>
      </c>
      <c r="U12" s="9" t="b">
        <f>G12='[3]Quadro Geral'!$F$12</f>
        <v>1</v>
      </c>
      <c r="V12" s="9" t="b">
        <f>H12='[3]Quadro Geral'!$G$12</f>
        <v>1</v>
      </c>
      <c r="W12" s="9" t="b">
        <f>I12='[3]Quadro Geral'!$I$12</f>
        <v>1</v>
      </c>
      <c r="X12" s="9" t="b">
        <f>J12=[4]Sheet!$G$92</f>
        <v>1</v>
      </c>
    </row>
    <row r="13" spans="1:31" ht="62.4" x14ac:dyDescent="0.3">
      <c r="A13" s="165" t="s">
        <v>380</v>
      </c>
      <c r="B13" s="167" t="s">
        <v>257</v>
      </c>
      <c r="C13" s="14" t="s">
        <v>259</v>
      </c>
      <c r="D13" s="165" t="s">
        <v>398</v>
      </c>
      <c r="E13" s="165" t="s">
        <v>433</v>
      </c>
      <c r="F13" s="165" t="s">
        <v>36</v>
      </c>
      <c r="G13" s="15"/>
      <c r="H13" s="165" t="s">
        <v>467</v>
      </c>
      <c r="I13" s="168">
        <v>266370.38</v>
      </c>
      <c r="J13" s="18">
        <v>71491.09</v>
      </c>
      <c r="K13" s="18">
        <f>261015.68-J13</f>
        <v>189524.59</v>
      </c>
      <c r="L13" s="126">
        <f t="shared" si="0"/>
        <v>261015.67999999999</v>
      </c>
      <c r="M13" s="18"/>
      <c r="N13" s="127">
        <f t="shared" si="1"/>
        <v>-5354.7000000000116</v>
      </c>
      <c r="O13" s="128">
        <f t="shared" si="2"/>
        <v>-2.0102460341123556</v>
      </c>
      <c r="P13" s="9" t="b">
        <f>A13='[3]Quadro Geral'!$A$13</f>
        <v>1</v>
      </c>
      <c r="Q13" s="9" t="b">
        <f>B13='[3]Quadro Geral'!$B$13</f>
        <v>1</v>
      </c>
      <c r="R13" s="9" t="b">
        <f>D13='[3]Quadro Geral'!$C$13</f>
        <v>1</v>
      </c>
      <c r="S13" s="9" t="b">
        <f>E13='[3]Quadro Geral'!$D$13</f>
        <v>1</v>
      </c>
      <c r="T13" s="9" t="b">
        <f>F13='[3]Quadro Geral'!$E$13</f>
        <v>1</v>
      </c>
      <c r="U13" s="9" t="b">
        <f>G13='[3]Quadro Geral'!$F$13</f>
        <v>1</v>
      </c>
      <c r="V13" s="9" t="b">
        <f>H13='[3]Quadro Geral'!$G$13</f>
        <v>1</v>
      </c>
      <c r="W13" s="9" t="b">
        <f>I13='[3]Quadro Geral'!$I$13</f>
        <v>1</v>
      </c>
      <c r="X13" s="9" t="b">
        <f>J13=[4]Sheet!$G$70</f>
        <v>1</v>
      </c>
    </row>
    <row r="14" spans="1:31" ht="46.8" x14ac:dyDescent="0.3">
      <c r="A14" s="165" t="s">
        <v>381</v>
      </c>
      <c r="B14" s="167" t="s">
        <v>257</v>
      </c>
      <c r="C14" s="14" t="s">
        <v>259</v>
      </c>
      <c r="D14" s="295" t="s">
        <v>399</v>
      </c>
      <c r="E14" s="165" t="s">
        <v>434</v>
      </c>
      <c r="F14" s="165" t="s">
        <v>33</v>
      </c>
      <c r="G14" s="15"/>
      <c r="H14" s="165" t="s">
        <v>468</v>
      </c>
      <c r="I14" s="168">
        <v>169992.39</v>
      </c>
      <c r="J14" s="18">
        <v>72635.77</v>
      </c>
      <c r="K14" s="18">
        <f>229463.62-J14</f>
        <v>156827.84999999998</v>
      </c>
      <c r="L14" s="126">
        <f t="shared" si="0"/>
        <v>229463.62</v>
      </c>
      <c r="M14" s="18"/>
      <c r="N14" s="127">
        <f t="shared" si="1"/>
        <v>59471.229999999981</v>
      </c>
      <c r="O14" s="128">
        <f t="shared" si="2"/>
        <v>34.984642547822276</v>
      </c>
      <c r="P14" s="9" t="b">
        <f>A14='[3]Quadro Geral'!$A$14</f>
        <v>1</v>
      </c>
      <c r="Q14" s="9" t="b">
        <f>B14='[3]Quadro Geral'!$B$14</f>
        <v>1</v>
      </c>
      <c r="R14" s="9" t="b">
        <f>D14='[3]Quadro Geral'!$C$14</f>
        <v>1</v>
      </c>
      <c r="S14" s="9" t="b">
        <f>E14='[3]Quadro Geral'!$D$14</f>
        <v>1</v>
      </c>
      <c r="T14" s="9" t="b">
        <f>F14='[3]Quadro Geral'!$E$14</f>
        <v>1</v>
      </c>
      <c r="U14" s="9" t="b">
        <f>G14='[3]Quadro Geral'!$F$14</f>
        <v>1</v>
      </c>
      <c r="V14" s="9" t="b">
        <f>H14='[3]Quadro Geral'!$G$14</f>
        <v>1</v>
      </c>
      <c r="W14" s="9" t="b">
        <f>I14='[3]Quadro Geral'!$I$14</f>
        <v>1</v>
      </c>
      <c r="X14" s="292" t="b">
        <f>J14=[4]Sheet!$G$52</f>
        <v>1</v>
      </c>
    </row>
    <row r="15" spans="1:31" ht="46.8" x14ac:dyDescent="0.3">
      <c r="A15" s="185" t="s">
        <v>382</v>
      </c>
      <c r="B15" s="167" t="s">
        <v>257</v>
      </c>
      <c r="C15" s="14" t="s">
        <v>259</v>
      </c>
      <c r="D15" s="295" t="s">
        <v>400</v>
      </c>
      <c r="E15" s="165" t="s">
        <v>435</v>
      </c>
      <c r="F15" s="165" t="s">
        <v>36</v>
      </c>
      <c r="G15" s="15"/>
      <c r="H15" s="165" t="s">
        <v>469</v>
      </c>
      <c r="I15" s="168">
        <v>35000</v>
      </c>
      <c r="J15" s="18">
        <v>2136.06</v>
      </c>
      <c r="K15" s="18">
        <f>75000-J15</f>
        <v>72863.94</v>
      </c>
      <c r="L15" s="126">
        <f t="shared" si="0"/>
        <v>75000</v>
      </c>
      <c r="M15" s="18"/>
      <c r="N15" s="127">
        <f t="shared" si="1"/>
        <v>40000</v>
      </c>
      <c r="O15" s="128">
        <f t="shared" si="2"/>
        <v>114.28571428571428</v>
      </c>
      <c r="P15" s="9" t="b">
        <f>A15='[3]Quadro Geral'!$A$15</f>
        <v>1</v>
      </c>
      <c r="Q15" s="9" t="b">
        <f>B15='[3]Quadro Geral'!$B$15</f>
        <v>1</v>
      </c>
      <c r="R15" s="9" t="b">
        <f>D15='[3]Quadro Geral'!$C$15</f>
        <v>1</v>
      </c>
      <c r="S15" s="9" t="b">
        <f>E15='[3]Quadro Geral'!$D$15</f>
        <v>1</v>
      </c>
      <c r="T15" s="9" t="b">
        <f>F15='[3]Quadro Geral'!$E$15</f>
        <v>1</v>
      </c>
      <c r="U15" s="9" t="b">
        <f>G15='[3]Quadro Geral'!$F$15</f>
        <v>1</v>
      </c>
      <c r="V15" s="9" t="b">
        <f>H15='[3]Quadro Geral'!$G$15</f>
        <v>1</v>
      </c>
      <c r="W15" s="9" t="b">
        <f>I15='[3]Quadro Geral'!$I$15</f>
        <v>1</v>
      </c>
      <c r="X15" s="292" t="b">
        <f>J15=[4]Sheet!$G$60</f>
        <v>1</v>
      </c>
    </row>
    <row r="16" spans="1:31" ht="93.6" x14ac:dyDescent="0.3">
      <c r="A16" s="165" t="s">
        <v>383</v>
      </c>
      <c r="B16" s="167" t="s">
        <v>257</v>
      </c>
      <c r="C16" s="14" t="s">
        <v>259</v>
      </c>
      <c r="D16" s="295" t="s">
        <v>401</v>
      </c>
      <c r="E16" s="165" t="s">
        <v>436</v>
      </c>
      <c r="F16" s="165" t="s">
        <v>27</v>
      </c>
      <c r="G16" s="15"/>
      <c r="H16" s="165" t="s">
        <v>470</v>
      </c>
      <c r="I16" s="168">
        <v>50000</v>
      </c>
      <c r="J16" s="18">
        <v>17956.169999999998</v>
      </c>
      <c r="K16" s="18">
        <f>90000-J16</f>
        <v>72043.83</v>
      </c>
      <c r="L16" s="126">
        <f t="shared" si="0"/>
        <v>90000</v>
      </c>
      <c r="M16" s="18"/>
      <c r="N16" s="127">
        <f t="shared" si="1"/>
        <v>40000</v>
      </c>
      <c r="O16" s="128">
        <f t="shared" si="2"/>
        <v>80</v>
      </c>
      <c r="P16" s="9" t="b">
        <f>A16='[3]Quadro Geral'!$A$16</f>
        <v>1</v>
      </c>
      <c r="Q16" s="9" t="b">
        <f>B16='[3]Quadro Geral'!$B$16</f>
        <v>1</v>
      </c>
      <c r="R16" s="9" t="b">
        <f>D16='[3]Quadro Geral'!$C$16</f>
        <v>1</v>
      </c>
      <c r="S16" s="9" t="b">
        <f>E16='[3]Quadro Geral'!$D$16</f>
        <v>1</v>
      </c>
      <c r="T16" s="9" t="b">
        <f>F16='[3]Quadro Geral'!$E$16</f>
        <v>1</v>
      </c>
      <c r="U16" s="9" t="b">
        <f>G16='[3]Quadro Geral'!$F$16</f>
        <v>1</v>
      </c>
      <c r="V16" s="9" t="b">
        <f>H16='[3]Quadro Geral'!$G$16</f>
        <v>1</v>
      </c>
      <c r="W16" s="9" t="b">
        <f>I16='[3]Quadro Geral'!$I$16</f>
        <v>1</v>
      </c>
      <c r="X16" s="292" t="b">
        <f>J16=[4]Sheet!$G$54</f>
        <v>1</v>
      </c>
    </row>
    <row r="17" spans="1:29" ht="46.8" x14ac:dyDescent="0.3">
      <c r="A17" s="165" t="s">
        <v>384</v>
      </c>
      <c r="B17" s="167" t="s">
        <v>257</v>
      </c>
      <c r="C17" s="14" t="s">
        <v>259</v>
      </c>
      <c r="D17" s="295" t="s">
        <v>402</v>
      </c>
      <c r="E17" s="165" t="s">
        <v>437</v>
      </c>
      <c r="F17" s="165" t="s">
        <v>35</v>
      </c>
      <c r="G17" s="15"/>
      <c r="H17" s="165" t="s">
        <v>471</v>
      </c>
      <c r="I17" s="168">
        <v>35000</v>
      </c>
      <c r="J17" s="18">
        <v>1584.99</v>
      </c>
      <c r="K17" s="18">
        <f>75000-J17</f>
        <v>73415.009999999995</v>
      </c>
      <c r="L17" s="126">
        <f t="shared" si="0"/>
        <v>75000</v>
      </c>
      <c r="M17" s="18"/>
      <c r="N17" s="127">
        <f t="shared" si="1"/>
        <v>40000</v>
      </c>
      <c r="O17" s="128">
        <f t="shared" si="2"/>
        <v>114.28571428571428</v>
      </c>
      <c r="P17" s="9" t="b">
        <f>A17='[3]Quadro Geral'!$A$17</f>
        <v>1</v>
      </c>
      <c r="Q17" s="9" t="b">
        <f>B17='[3]Quadro Geral'!$B$17</f>
        <v>1</v>
      </c>
      <c r="R17" s="9" t="b">
        <f>D17='[3]Quadro Geral'!$C$17</f>
        <v>1</v>
      </c>
      <c r="S17" s="9" t="b">
        <f>E17='[3]Quadro Geral'!$D$17</f>
        <v>1</v>
      </c>
      <c r="T17" s="9" t="b">
        <f>F17='[3]Quadro Geral'!$E$17</f>
        <v>1</v>
      </c>
      <c r="U17" s="9" t="b">
        <f>G17='[3]Quadro Geral'!$F$17</f>
        <v>1</v>
      </c>
      <c r="V17" s="9" t="b">
        <f>H17='[3]Quadro Geral'!$G$17</f>
        <v>1</v>
      </c>
      <c r="W17" s="9" t="b">
        <f>I17='[3]Quadro Geral'!$I$17</f>
        <v>1</v>
      </c>
      <c r="X17" s="292" t="b">
        <f>J17=[4]Sheet!$G$58</f>
        <v>1</v>
      </c>
    </row>
    <row r="18" spans="1:29" ht="62.4" x14ac:dyDescent="0.3">
      <c r="A18" s="165" t="s">
        <v>385</v>
      </c>
      <c r="B18" s="167" t="s">
        <v>257</v>
      </c>
      <c r="C18" s="14" t="s">
        <v>259</v>
      </c>
      <c r="D18" s="295" t="s">
        <v>403</v>
      </c>
      <c r="E18" s="165" t="s">
        <v>438</v>
      </c>
      <c r="F18" s="165" t="s">
        <v>140</v>
      </c>
      <c r="G18" s="15"/>
      <c r="H18" s="165" t="s">
        <v>472</v>
      </c>
      <c r="I18" s="168">
        <v>40000</v>
      </c>
      <c r="J18" s="18">
        <v>4601.63</v>
      </c>
      <c r="K18" s="18">
        <f>80000-J18</f>
        <v>75398.37</v>
      </c>
      <c r="L18" s="126">
        <f t="shared" si="0"/>
        <v>80000</v>
      </c>
      <c r="M18" s="18"/>
      <c r="N18" s="127">
        <f t="shared" si="1"/>
        <v>40000</v>
      </c>
      <c r="O18" s="128">
        <f t="shared" si="2"/>
        <v>100</v>
      </c>
      <c r="P18" s="9" t="b">
        <f>A18='[3]Quadro Geral'!$A$18</f>
        <v>1</v>
      </c>
      <c r="Q18" s="9" t="b">
        <f>B18='[3]Quadro Geral'!$B$18</f>
        <v>1</v>
      </c>
      <c r="R18" s="9" t="b">
        <f>D18='[3]Quadro Geral'!$C$18</f>
        <v>1</v>
      </c>
      <c r="S18" s="9" t="b">
        <f>E18='[3]Quadro Geral'!$D$18</f>
        <v>1</v>
      </c>
      <c r="T18" s="9" t="b">
        <f>F18='[3]Quadro Geral'!$E$18</f>
        <v>1</v>
      </c>
      <c r="U18" s="9" t="b">
        <f>G18='[3]Quadro Geral'!$F$18</f>
        <v>1</v>
      </c>
      <c r="V18" s="9" t="b">
        <f>H18='[3]Quadro Geral'!$G$18</f>
        <v>1</v>
      </c>
      <c r="W18" s="9" t="b">
        <f>I18='[3]Quadro Geral'!$I$18</f>
        <v>1</v>
      </c>
      <c r="X18" s="292" t="b">
        <f>J18=[4]Sheet!$G$56</f>
        <v>1</v>
      </c>
    </row>
    <row r="19" spans="1:29" ht="46.8" x14ac:dyDescent="0.3">
      <c r="A19" s="185" t="s">
        <v>504</v>
      </c>
      <c r="B19" s="167" t="s">
        <v>257</v>
      </c>
      <c r="C19" s="14" t="s">
        <v>259</v>
      </c>
      <c r="D19" s="295" t="s">
        <v>835</v>
      </c>
      <c r="E19" s="165" t="s">
        <v>439</v>
      </c>
      <c r="F19" s="165" t="s">
        <v>36</v>
      </c>
      <c r="G19" s="15"/>
      <c r="H19" s="165" t="s">
        <v>473</v>
      </c>
      <c r="I19" s="168">
        <v>25000</v>
      </c>
      <c r="J19" s="18">
        <v>4211.1000000000004</v>
      </c>
      <c r="K19" s="18">
        <f>40000-J19</f>
        <v>35788.9</v>
      </c>
      <c r="L19" s="126">
        <f t="shared" si="0"/>
        <v>40000</v>
      </c>
      <c r="M19" s="18"/>
      <c r="N19" s="127">
        <f t="shared" si="1"/>
        <v>15000</v>
      </c>
      <c r="O19" s="128">
        <f t="shared" si="2"/>
        <v>60</v>
      </c>
      <c r="P19" s="271" t="b">
        <f>A19='[3]Quadro Geral'!$A$19</f>
        <v>0</v>
      </c>
      <c r="Q19" s="9" t="b">
        <f>B19='[3]Quadro Geral'!$B$19</f>
        <v>1</v>
      </c>
      <c r="R19" s="9" t="b">
        <f>D19='[3]Quadro Geral'!$C$19</f>
        <v>0</v>
      </c>
      <c r="S19" s="9" t="b">
        <f>E19='[3]Quadro Geral'!$D$19</f>
        <v>1</v>
      </c>
      <c r="T19" s="9" t="b">
        <f>F19='[3]Quadro Geral'!$E$19</f>
        <v>1</v>
      </c>
      <c r="U19" s="9" t="b">
        <f>G19='[3]Quadro Geral'!$F$19</f>
        <v>1</v>
      </c>
      <c r="V19" s="9" t="b">
        <f>H19='[3]Quadro Geral'!$G$19</f>
        <v>1</v>
      </c>
      <c r="W19" s="9" t="b">
        <f>I19='[3]Quadro Geral'!$I$19</f>
        <v>1</v>
      </c>
      <c r="X19" s="292" t="b">
        <f>J19=[4]Sheet!$G$66</f>
        <v>1</v>
      </c>
    </row>
    <row r="20" spans="1:29" ht="62.4" x14ac:dyDescent="0.3">
      <c r="A20" s="165" t="s">
        <v>386</v>
      </c>
      <c r="B20" s="167" t="s">
        <v>257</v>
      </c>
      <c r="C20" s="14" t="s">
        <v>262</v>
      </c>
      <c r="D20" s="295" t="s">
        <v>405</v>
      </c>
      <c r="E20" s="165" t="s">
        <v>440</v>
      </c>
      <c r="F20" s="165" t="s">
        <v>162</v>
      </c>
      <c r="G20" s="15"/>
      <c r="H20" s="165" t="s">
        <v>474</v>
      </c>
      <c r="I20" s="168">
        <v>25000</v>
      </c>
      <c r="J20" s="18">
        <v>0</v>
      </c>
      <c r="K20" s="18">
        <v>0</v>
      </c>
      <c r="L20" s="126">
        <f t="shared" si="0"/>
        <v>0</v>
      </c>
      <c r="M20" s="18"/>
      <c r="N20" s="127">
        <f t="shared" si="1"/>
        <v>-25000</v>
      </c>
      <c r="O20" s="128">
        <f t="shared" si="2"/>
        <v>-100</v>
      </c>
      <c r="P20" s="9" t="b">
        <f>A20='[3]Quadro Geral'!$A$20</f>
        <v>1</v>
      </c>
      <c r="Q20" s="9" t="b">
        <f>B20='[3]Quadro Geral'!$B$20</f>
        <v>1</v>
      </c>
      <c r="R20" s="9" t="b">
        <f>D20='[3]Quadro Geral'!$C$20</f>
        <v>1</v>
      </c>
      <c r="S20" s="9" t="b">
        <f>E20='[3]Quadro Geral'!$D$20</f>
        <v>1</v>
      </c>
      <c r="T20" s="9" t="b">
        <f>F20='[3]Quadro Geral'!$E$20</f>
        <v>1</v>
      </c>
      <c r="U20" s="9" t="b">
        <f>G20='[3]Quadro Geral'!$F$20</f>
        <v>1</v>
      </c>
      <c r="V20" s="9" t="b">
        <f>H20='[3]Quadro Geral'!$G$20</f>
        <v>1</v>
      </c>
      <c r="W20" s="9" t="b">
        <f>I20='[3]Quadro Geral'!$I$20</f>
        <v>1</v>
      </c>
      <c r="X20" s="292" t="b">
        <f>J20=[4]Sheet!$G$64</f>
        <v>1</v>
      </c>
    </row>
    <row r="21" spans="1:29" ht="46.8" x14ac:dyDescent="0.3">
      <c r="A21" s="165" t="s">
        <v>387</v>
      </c>
      <c r="B21" s="167" t="s">
        <v>257</v>
      </c>
      <c r="C21" s="14" t="s">
        <v>259</v>
      </c>
      <c r="D21" s="165" t="s">
        <v>406</v>
      </c>
      <c r="E21" s="165" t="s">
        <v>441</v>
      </c>
      <c r="F21" s="165" t="s">
        <v>134</v>
      </c>
      <c r="G21" s="15"/>
      <c r="H21" s="165" t="s">
        <v>475</v>
      </c>
      <c r="I21" s="168">
        <v>123528.32000000001</v>
      </c>
      <c r="J21" s="18">
        <v>19704.47</v>
      </c>
      <c r="K21" s="18">
        <f>181549.92-J21</f>
        <v>161845.45000000001</v>
      </c>
      <c r="L21" s="126">
        <f t="shared" si="0"/>
        <v>181549.92</v>
      </c>
      <c r="M21" s="18"/>
      <c r="N21" s="127">
        <f t="shared" si="1"/>
        <v>58021.600000000006</v>
      </c>
      <c r="O21" s="128">
        <f t="shared" si="2"/>
        <v>46.970281794490525</v>
      </c>
      <c r="P21" s="9" t="b">
        <f>A21='[3]Quadro Geral'!$A$21</f>
        <v>1</v>
      </c>
      <c r="Q21" s="9" t="b">
        <f>B21='[3]Quadro Geral'!$B$21</f>
        <v>1</v>
      </c>
      <c r="R21" s="9" t="b">
        <f>D21='[3]Quadro Geral'!$C$21</f>
        <v>1</v>
      </c>
      <c r="S21" s="9" t="b">
        <f>E21='[3]Quadro Geral'!$D$21</f>
        <v>1</v>
      </c>
      <c r="T21" s="9" t="b">
        <f>F21='[3]Quadro Geral'!$E$21</f>
        <v>1</v>
      </c>
      <c r="U21" s="9" t="b">
        <f>G21='[3]Quadro Geral'!$F$21</f>
        <v>1</v>
      </c>
      <c r="V21" s="9" t="b">
        <f>H21='[3]Quadro Geral'!$G$21</f>
        <v>1</v>
      </c>
      <c r="W21" s="9" t="b">
        <f>I21='[3]Quadro Geral'!$I$21</f>
        <v>1</v>
      </c>
      <c r="X21" s="9" t="b">
        <f>J21=[4]Sheet!$G$20</f>
        <v>1</v>
      </c>
    </row>
    <row r="22" spans="1:29" ht="78" x14ac:dyDescent="0.3">
      <c r="A22" s="165" t="s">
        <v>387</v>
      </c>
      <c r="B22" s="167" t="s">
        <v>256</v>
      </c>
      <c r="C22" s="14" t="s">
        <v>259</v>
      </c>
      <c r="D22" s="165" t="s">
        <v>407</v>
      </c>
      <c r="E22" s="165" t="s">
        <v>442</v>
      </c>
      <c r="F22" s="165" t="s">
        <v>32</v>
      </c>
      <c r="G22" s="15"/>
      <c r="H22" s="165" t="s">
        <v>476</v>
      </c>
      <c r="I22" s="168">
        <v>80000</v>
      </c>
      <c r="J22" s="18">
        <v>0</v>
      </c>
      <c r="K22" s="18">
        <v>100000</v>
      </c>
      <c r="L22" s="126">
        <f t="shared" si="0"/>
        <v>100000</v>
      </c>
      <c r="M22" s="18"/>
      <c r="N22" s="127">
        <f t="shared" si="1"/>
        <v>20000</v>
      </c>
      <c r="O22" s="128">
        <f t="shared" si="2"/>
        <v>25</v>
      </c>
      <c r="P22" s="9" t="b">
        <f>A22='[3]Quadro Geral'!$A$22</f>
        <v>1</v>
      </c>
      <c r="Q22" s="9" t="b">
        <f>B22='[3]Quadro Geral'!$B$22</f>
        <v>1</v>
      </c>
      <c r="R22" s="9" t="b">
        <f>D22='[3]Quadro Geral'!$C$22</f>
        <v>1</v>
      </c>
      <c r="S22" s="9" t="b">
        <f>E22='[3]Quadro Geral'!$D$22</f>
        <v>1</v>
      </c>
      <c r="T22" s="9" t="b">
        <f>F22='[3]Quadro Geral'!$E$22</f>
        <v>1</v>
      </c>
      <c r="U22" s="9" t="b">
        <f>G22='[3]Quadro Geral'!$F$22</f>
        <v>1</v>
      </c>
      <c r="V22" s="9" t="b">
        <f>H22='[3]Quadro Geral'!$G$22</f>
        <v>1</v>
      </c>
      <c r="W22" s="9" t="b">
        <f>I22='[3]Quadro Geral'!$I$22</f>
        <v>1</v>
      </c>
      <c r="X22" s="9" t="b">
        <f>J22=[4]Sheet!$G$24</f>
        <v>1</v>
      </c>
    </row>
    <row r="23" spans="1:29" ht="46.2" customHeight="1" x14ac:dyDescent="0.3">
      <c r="A23" s="174" t="s">
        <v>377</v>
      </c>
      <c r="B23" s="167" t="s">
        <v>257</v>
      </c>
      <c r="C23" s="14" t="s">
        <v>262</v>
      </c>
      <c r="D23" s="165" t="s">
        <v>408</v>
      </c>
      <c r="E23" s="165" t="s">
        <v>443</v>
      </c>
      <c r="F23" s="165" t="s">
        <v>128</v>
      </c>
      <c r="G23" s="15"/>
      <c r="H23" s="165" t="s">
        <v>477</v>
      </c>
      <c r="I23" s="168">
        <v>90000</v>
      </c>
      <c r="J23" s="18">
        <v>0</v>
      </c>
      <c r="K23" s="18"/>
      <c r="L23" s="126">
        <f t="shared" si="0"/>
        <v>0</v>
      </c>
      <c r="M23" s="18"/>
      <c r="N23" s="127">
        <f t="shared" si="1"/>
        <v>-90000</v>
      </c>
      <c r="O23" s="128">
        <f t="shared" si="2"/>
        <v>-100</v>
      </c>
      <c r="P23" s="9" t="b">
        <f>A23='[3]Quadro Geral'!$A$23</f>
        <v>1</v>
      </c>
      <c r="Q23" s="9" t="b">
        <f>B23='[3]Quadro Geral'!$B$23</f>
        <v>1</v>
      </c>
      <c r="R23" s="9" t="b">
        <f>D23='[3]Quadro Geral'!$C$23</f>
        <v>1</v>
      </c>
      <c r="S23" s="9" t="b">
        <f>E23='[3]Quadro Geral'!$D$23</f>
        <v>1</v>
      </c>
      <c r="T23" s="9" t="b">
        <f>F23='[3]Quadro Geral'!$E$23</f>
        <v>1</v>
      </c>
      <c r="U23" s="9" t="b">
        <f>G23='[3]Quadro Geral'!$F$23</f>
        <v>1</v>
      </c>
      <c r="V23" s="9" t="b">
        <f>H23='[3]Quadro Geral'!$G$23</f>
        <v>1</v>
      </c>
      <c r="W23" s="9" t="b">
        <f>I23='[3]Quadro Geral'!$I$23</f>
        <v>1</v>
      </c>
      <c r="X23" s="9" t="b">
        <f>J23=[4]Sheet!$G$82</f>
        <v>1</v>
      </c>
    </row>
    <row r="24" spans="1:29" ht="62.4" x14ac:dyDescent="0.3">
      <c r="A24" s="165" t="s">
        <v>387</v>
      </c>
      <c r="B24" s="167" t="s">
        <v>256</v>
      </c>
      <c r="C24" s="14" t="s">
        <v>259</v>
      </c>
      <c r="D24" s="165" t="s">
        <v>409</v>
      </c>
      <c r="E24" s="165" t="s">
        <v>444</v>
      </c>
      <c r="F24" s="165" t="s">
        <v>29</v>
      </c>
      <c r="G24" s="15"/>
      <c r="H24" s="165" t="s">
        <v>478</v>
      </c>
      <c r="I24" s="168">
        <v>100000</v>
      </c>
      <c r="J24" s="18">
        <v>0</v>
      </c>
      <c r="K24" s="18">
        <v>100000</v>
      </c>
      <c r="L24" s="126">
        <f t="shared" si="0"/>
        <v>100000</v>
      </c>
      <c r="M24" s="18"/>
      <c r="N24" s="127">
        <f t="shared" si="1"/>
        <v>0</v>
      </c>
      <c r="O24" s="128">
        <f t="shared" si="2"/>
        <v>0</v>
      </c>
      <c r="P24" s="9" t="b">
        <f>A24='[3]Quadro Geral'!$A$24</f>
        <v>1</v>
      </c>
      <c r="Q24" s="9" t="b">
        <f>B24='[3]Quadro Geral'!$B$24</f>
        <v>1</v>
      </c>
      <c r="R24" s="9" t="b">
        <f>D24='[3]Quadro Geral'!$C$24</f>
        <v>1</v>
      </c>
      <c r="S24" s="9" t="b">
        <f>E24='[3]Quadro Geral'!$D$24</f>
        <v>1</v>
      </c>
      <c r="T24" s="9" t="b">
        <f>F24='[3]Quadro Geral'!$E$24</f>
        <v>1</v>
      </c>
      <c r="U24" s="9" t="b">
        <f>G24='[3]Quadro Geral'!$F$24</f>
        <v>1</v>
      </c>
      <c r="V24" s="9" t="b">
        <f>H24='[3]Quadro Geral'!$G$24</f>
        <v>1</v>
      </c>
      <c r="W24" s="9" t="b">
        <f>I24='[3]Quadro Geral'!$I$24</f>
        <v>1</v>
      </c>
      <c r="X24" s="9" t="b">
        <f>J24=[4]Sheet!$G$38</f>
        <v>1</v>
      </c>
    </row>
    <row r="25" spans="1:29" ht="46.8" x14ac:dyDescent="0.3">
      <c r="A25" s="183" t="s">
        <v>648</v>
      </c>
      <c r="B25" s="167" t="s">
        <v>257</v>
      </c>
      <c r="C25" s="14" t="s">
        <v>259</v>
      </c>
      <c r="D25" s="165" t="s">
        <v>410</v>
      </c>
      <c r="E25" s="165" t="s">
        <v>445</v>
      </c>
      <c r="F25" s="165" t="s">
        <v>35</v>
      </c>
      <c r="G25" s="15"/>
      <c r="H25" s="165" t="s">
        <v>479</v>
      </c>
      <c r="I25" s="168">
        <v>63933.47699640358</v>
      </c>
      <c r="J25" s="18">
        <v>26638.95</v>
      </c>
      <c r="K25" s="18">
        <v>37294.526996403598</v>
      </c>
      <c r="L25" s="126">
        <f t="shared" si="0"/>
        <v>63933.476996403595</v>
      </c>
      <c r="M25" s="18"/>
      <c r="N25" s="127">
        <f t="shared" si="1"/>
        <v>0</v>
      </c>
      <c r="O25" s="128">
        <f t="shared" si="2"/>
        <v>0</v>
      </c>
      <c r="P25" s="99" t="b">
        <f>A25='[3]Quadro Geral'!$A$25</f>
        <v>0</v>
      </c>
      <c r="Q25" s="9" t="b">
        <f>B25='[3]Quadro Geral'!$B$25</f>
        <v>1</v>
      </c>
      <c r="R25" s="9" t="b">
        <f>D25='[3]Quadro Geral'!$C$25</f>
        <v>1</v>
      </c>
      <c r="S25" s="9" t="b">
        <f>E25='[3]Quadro Geral'!$D$25</f>
        <v>1</v>
      </c>
      <c r="T25" s="9" t="b">
        <f>F25='[3]Quadro Geral'!$E$25</f>
        <v>1</v>
      </c>
      <c r="U25" s="9" t="b">
        <f>G25='[3]Quadro Geral'!$F$25</f>
        <v>1</v>
      </c>
      <c r="V25" s="9" t="b">
        <f>H25='[3]Quadro Geral'!$G$25</f>
        <v>1</v>
      </c>
      <c r="W25" s="9" t="b">
        <f>I25='[3]Quadro Geral'!$I$25</f>
        <v>1</v>
      </c>
      <c r="X25" s="9" t="b">
        <f>J25=Despesa!G94</f>
        <v>1</v>
      </c>
      <c r="Y25" s="280">
        <f>'Diretrizes - Resumo'!AN6</f>
        <v>63933.47699640358</v>
      </c>
      <c r="Z25" s="257" t="b">
        <f>Y25=L25</f>
        <v>1</v>
      </c>
      <c r="AA25" s="272"/>
    </row>
    <row r="26" spans="1:29" ht="62.4" x14ac:dyDescent="0.3">
      <c r="A26" s="165" t="s">
        <v>388</v>
      </c>
      <c r="B26" s="167" t="s">
        <v>257</v>
      </c>
      <c r="C26" s="14" t="s">
        <v>259</v>
      </c>
      <c r="D26" s="165" t="s">
        <v>411</v>
      </c>
      <c r="E26" s="165" t="s">
        <v>446</v>
      </c>
      <c r="F26" s="165" t="s">
        <v>32</v>
      </c>
      <c r="G26" s="15"/>
      <c r="H26" s="165" t="s">
        <v>480</v>
      </c>
      <c r="I26" s="168">
        <f>510450.98</f>
        <v>510450.98</v>
      </c>
      <c r="J26" s="18">
        <v>48902.18</v>
      </c>
      <c r="K26" s="18">
        <f>434028.18-J26</f>
        <v>385126</v>
      </c>
      <c r="L26" s="126">
        <f t="shared" si="0"/>
        <v>434028.18</v>
      </c>
      <c r="M26" s="18"/>
      <c r="N26" s="127">
        <f t="shared" si="1"/>
        <v>-76422.799999999988</v>
      </c>
      <c r="O26" s="128">
        <f t="shared" si="2"/>
        <v>-14.971623719872179</v>
      </c>
      <c r="P26" s="9" t="b">
        <f>A26='[3]Quadro Geral'!$A$26</f>
        <v>1</v>
      </c>
      <c r="Q26" s="9" t="b">
        <f>B26='[3]Quadro Geral'!$B$26</f>
        <v>1</v>
      </c>
      <c r="R26" s="9" t="b">
        <f>D26='[3]Quadro Geral'!$C$26</f>
        <v>1</v>
      </c>
      <c r="S26" s="9" t="b">
        <f>E26='[3]Quadro Geral'!$D$26</f>
        <v>1</v>
      </c>
      <c r="T26" s="9" t="b">
        <f>F26='[3]Quadro Geral'!$E$26</f>
        <v>1</v>
      </c>
      <c r="U26" s="9" t="b">
        <f>G26='[3]Quadro Geral'!$F$26</f>
        <v>1</v>
      </c>
      <c r="V26" s="9" t="b">
        <f>H26='[3]Quadro Geral'!$G$26</f>
        <v>1</v>
      </c>
      <c r="W26" s="9" t="b">
        <f>I26='[3]Quadro Geral'!$I$26</f>
        <v>1</v>
      </c>
      <c r="X26" s="9" t="b">
        <f>J26=Despesa!G72</f>
        <v>1</v>
      </c>
      <c r="Y26" s="280"/>
      <c r="Z26" s="257"/>
    </row>
    <row r="27" spans="1:29" ht="46.8" x14ac:dyDescent="0.3">
      <c r="A27" s="165" t="s">
        <v>377</v>
      </c>
      <c r="B27" s="167" t="s">
        <v>257</v>
      </c>
      <c r="C27" s="14" t="s">
        <v>259</v>
      </c>
      <c r="D27" s="165" t="s">
        <v>412</v>
      </c>
      <c r="E27" s="165" t="s">
        <v>447</v>
      </c>
      <c r="F27" s="165" t="s">
        <v>37</v>
      </c>
      <c r="G27" s="15"/>
      <c r="H27" s="165" t="s">
        <v>481</v>
      </c>
      <c r="I27" s="168">
        <v>50000</v>
      </c>
      <c r="J27" s="18">
        <v>27196.87</v>
      </c>
      <c r="K27" s="18">
        <f>80000-J27</f>
        <v>52803.130000000005</v>
      </c>
      <c r="L27" s="126">
        <f t="shared" si="0"/>
        <v>80000</v>
      </c>
      <c r="M27" s="18"/>
      <c r="N27" s="127">
        <f t="shared" si="1"/>
        <v>30000</v>
      </c>
      <c r="O27" s="128">
        <f t="shared" si="2"/>
        <v>60</v>
      </c>
      <c r="P27" s="9" t="b">
        <f>A27='[3]Quadro Geral'!$A$27</f>
        <v>1</v>
      </c>
      <c r="Q27" s="9" t="b">
        <f>B27='[3]Quadro Geral'!$B$27</f>
        <v>1</v>
      </c>
      <c r="R27" s="9" t="b">
        <f>D27='[3]Quadro Geral'!$C$27</f>
        <v>1</v>
      </c>
      <c r="S27" s="9" t="b">
        <f>E27='[3]Quadro Geral'!$D$27</f>
        <v>1</v>
      </c>
      <c r="T27" s="9" t="b">
        <f>F27='[3]Quadro Geral'!$E$27</f>
        <v>1</v>
      </c>
      <c r="U27" s="9" t="b">
        <f>G27='[3]Quadro Geral'!$F$27</f>
        <v>1</v>
      </c>
      <c r="V27" s="9" t="b">
        <f>H27='[3]Quadro Geral'!$G$27</f>
        <v>1</v>
      </c>
      <c r="W27" s="9" t="b">
        <f>I27='[3]Quadro Geral'!$I$27</f>
        <v>1</v>
      </c>
      <c r="X27" s="9" t="b">
        <f>J27=Despesa!G84</f>
        <v>1</v>
      </c>
      <c r="Y27" s="280"/>
      <c r="AC27" s="273"/>
    </row>
    <row r="28" spans="1:29" ht="62.4" x14ac:dyDescent="0.3">
      <c r="A28" s="165" t="s">
        <v>387</v>
      </c>
      <c r="B28" s="167" t="s">
        <v>256</v>
      </c>
      <c r="C28" s="14" t="s">
        <v>259</v>
      </c>
      <c r="D28" s="165" t="s">
        <v>413</v>
      </c>
      <c r="E28" s="165" t="s">
        <v>448</v>
      </c>
      <c r="F28" s="165" t="s">
        <v>34</v>
      </c>
      <c r="G28" s="15"/>
      <c r="H28" s="165" t="s">
        <v>482</v>
      </c>
      <c r="I28" s="168">
        <v>268400</v>
      </c>
      <c r="J28" s="18">
        <v>0</v>
      </c>
      <c r="K28" s="18">
        <v>268400</v>
      </c>
      <c r="L28" s="126">
        <f t="shared" si="0"/>
        <v>268400</v>
      </c>
      <c r="M28" s="18"/>
      <c r="N28" s="127">
        <f t="shared" si="1"/>
        <v>0</v>
      </c>
      <c r="O28" s="128">
        <f t="shared" si="2"/>
        <v>0</v>
      </c>
      <c r="P28" s="9" t="b">
        <f>A28='[3]Quadro Geral'!$A$28</f>
        <v>1</v>
      </c>
      <c r="Q28" s="9" t="b">
        <f>B28='[3]Quadro Geral'!$B$28</f>
        <v>1</v>
      </c>
      <c r="R28" s="9" t="b">
        <f>D28='[3]Quadro Geral'!$C$28</f>
        <v>1</v>
      </c>
      <c r="S28" s="9" t="b">
        <f>E28='[3]Quadro Geral'!$D$28</f>
        <v>1</v>
      </c>
      <c r="T28" s="9" t="b">
        <f>F28='[3]Quadro Geral'!$E$28</f>
        <v>1</v>
      </c>
      <c r="U28" s="9" t="b">
        <f>G28='[3]Quadro Geral'!$F$28</f>
        <v>1</v>
      </c>
      <c r="V28" s="9" t="b">
        <f>H28='[3]Quadro Geral'!$G$28</f>
        <v>1</v>
      </c>
      <c r="W28" s="9" t="b">
        <f>I28='[3]Quadro Geral'!$I$28</f>
        <v>1</v>
      </c>
      <c r="X28" s="9" t="b">
        <f>J28=Despesa!G26</f>
        <v>1</v>
      </c>
      <c r="Y28" s="280"/>
    </row>
    <row r="29" spans="1:29" ht="62.4" x14ac:dyDescent="0.3">
      <c r="A29" s="165" t="s">
        <v>389</v>
      </c>
      <c r="B29" s="167" t="s">
        <v>257</v>
      </c>
      <c r="C29" s="14" t="s">
        <v>259</v>
      </c>
      <c r="D29" s="165" t="s">
        <v>414</v>
      </c>
      <c r="E29" s="165" t="s">
        <v>449</v>
      </c>
      <c r="F29" s="165" t="s">
        <v>128</v>
      </c>
      <c r="G29" s="15"/>
      <c r="H29" s="165" t="s">
        <v>483</v>
      </c>
      <c r="I29" s="168">
        <v>366797.12</v>
      </c>
      <c r="J29" s="18">
        <v>135828.25</v>
      </c>
      <c r="K29" s="18">
        <f>362422.83-J29</f>
        <v>226594.58000000002</v>
      </c>
      <c r="L29" s="126">
        <f t="shared" si="0"/>
        <v>362422.83</v>
      </c>
      <c r="M29" s="18"/>
      <c r="N29" s="127">
        <f t="shared" si="1"/>
        <v>-4374.289999999979</v>
      </c>
      <c r="O29" s="128">
        <f t="shared" si="2"/>
        <v>-1.192563889269354</v>
      </c>
      <c r="P29" s="9" t="b">
        <f>A29='[3]Quadro Geral'!$A$29</f>
        <v>1</v>
      </c>
      <c r="Q29" s="9" t="b">
        <f>B29='[3]Quadro Geral'!$B$29</f>
        <v>1</v>
      </c>
      <c r="R29" s="9" t="b">
        <f>D29='[3]Quadro Geral'!$C$29</f>
        <v>1</v>
      </c>
      <c r="S29" s="9" t="b">
        <f>E29='[3]Quadro Geral'!$D$29</f>
        <v>1</v>
      </c>
      <c r="T29" s="9" t="b">
        <f>F29='[3]Quadro Geral'!$E$29</f>
        <v>1</v>
      </c>
      <c r="U29" s="9" t="b">
        <f>G29='[3]Quadro Geral'!$F$29</f>
        <v>1</v>
      </c>
      <c r="V29" s="9" t="b">
        <f>H29='[3]Quadro Geral'!$G$29</f>
        <v>1</v>
      </c>
      <c r="W29" s="9" t="b">
        <f>I29='[3]Quadro Geral'!$I$29</f>
        <v>1</v>
      </c>
      <c r="X29" s="9" t="b">
        <f>J29=Despesa!G110</f>
        <v>1</v>
      </c>
      <c r="Y29" s="280"/>
    </row>
    <row r="30" spans="1:29" ht="78" x14ac:dyDescent="0.3">
      <c r="A30" s="165" t="s">
        <v>387</v>
      </c>
      <c r="B30" s="167" t="s">
        <v>256</v>
      </c>
      <c r="C30" s="14" t="s">
        <v>259</v>
      </c>
      <c r="D30" s="165" t="s">
        <v>415</v>
      </c>
      <c r="E30" s="165" t="s">
        <v>450</v>
      </c>
      <c r="F30" s="165" t="s">
        <v>39</v>
      </c>
      <c r="G30" s="15"/>
      <c r="H30" s="165" t="s">
        <v>484</v>
      </c>
      <c r="I30" s="169">
        <v>800000</v>
      </c>
      <c r="J30" s="18">
        <v>0</v>
      </c>
      <c r="K30" s="18">
        <v>800000</v>
      </c>
      <c r="L30" s="126">
        <f t="shared" si="0"/>
        <v>800000</v>
      </c>
      <c r="M30" s="18">
        <v>800000</v>
      </c>
      <c r="N30" s="127">
        <f t="shared" si="1"/>
        <v>0</v>
      </c>
      <c r="O30" s="128">
        <f t="shared" si="2"/>
        <v>0</v>
      </c>
      <c r="P30" s="9" t="b">
        <f>A30='[3]Quadro Geral'!$A$30</f>
        <v>1</v>
      </c>
      <c r="Q30" s="9" t="b">
        <f>B30='[3]Quadro Geral'!$B$30</f>
        <v>1</v>
      </c>
      <c r="R30" s="9" t="b">
        <f>D30='[3]Quadro Geral'!$C$30</f>
        <v>1</v>
      </c>
      <c r="S30" s="9" t="b">
        <f>E30='[3]Quadro Geral'!$D$30</f>
        <v>1</v>
      </c>
      <c r="T30" s="9" t="b">
        <f>F30='[3]Quadro Geral'!$E$30</f>
        <v>1</v>
      </c>
      <c r="U30" s="9" t="b">
        <f>G30='[3]Quadro Geral'!$F$30</f>
        <v>1</v>
      </c>
      <c r="V30" s="9" t="b">
        <f>H30='[3]Quadro Geral'!$G$30</f>
        <v>1</v>
      </c>
      <c r="W30" s="9" t="b">
        <f>I30='[3]Quadro Geral'!$I$30</f>
        <v>1</v>
      </c>
      <c r="X30" s="9" t="b">
        <f>J30=Despesa!G28</f>
        <v>1</v>
      </c>
      <c r="Y30" s="280"/>
    </row>
    <row r="31" spans="1:29" ht="78" x14ac:dyDescent="0.3">
      <c r="A31" s="165" t="s">
        <v>387</v>
      </c>
      <c r="B31" s="167" t="s">
        <v>256</v>
      </c>
      <c r="C31" s="14" t="s">
        <v>259</v>
      </c>
      <c r="D31" s="165" t="s">
        <v>416</v>
      </c>
      <c r="E31" s="165" t="s">
        <v>451</v>
      </c>
      <c r="F31" s="165" t="s">
        <v>39</v>
      </c>
      <c r="G31" s="15"/>
      <c r="H31" s="165" t="s">
        <v>485</v>
      </c>
      <c r="I31" s="169">
        <v>640000</v>
      </c>
      <c r="J31" s="18">
        <v>0</v>
      </c>
      <c r="K31" s="18">
        <v>640000</v>
      </c>
      <c r="L31" s="126">
        <f t="shared" si="0"/>
        <v>640000</v>
      </c>
      <c r="M31" s="18">
        <v>640000</v>
      </c>
      <c r="N31" s="127">
        <f t="shared" si="1"/>
        <v>0</v>
      </c>
      <c r="O31" s="128">
        <f t="shared" si="2"/>
        <v>0</v>
      </c>
      <c r="P31" s="9" t="b">
        <f>A31='[3]Quadro Geral'!$A$31</f>
        <v>1</v>
      </c>
      <c r="Q31" s="9" t="b">
        <f>B31='[3]Quadro Geral'!$B$31</f>
        <v>1</v>
      </c>
      <c r="R31" s="9" t="b">
        <f>D31='[3]Quadro Geral'!$C$31</f>
        <v>1</v>
      </c>
      <c r="S31" s="9" t="b">
        <f>E31='[3]Quadro Geral'!$D$31</f>
        <v>1</v>
      </c>
      <c r="T31" s="9" t="b">
        <f>F31='[3]Quadro Geral'!$E$31</f>
        <v>1</v>
      </c>
      <c r="U31" s="9" t="b">
        <f>G31='[3]Quadro Geral'!$F$31</f>
        <v>1</v>
      </c>
      <c r="V31" s="9" t="b">
        <f>H31='[3]Quadro Geral'!$G$31</f>
        <v>1</v>
      </c>
      <c r="W31" s="9" t="b">
        <f>I31='[3]Quadro Geral'!$I$31</f>
        <v>1</v>
      </c>
      <c r="X31" s="9" t="b">
        <f>J31=Despesa!G30</f>
        <v>1</v>
      </c>
      <c r="Y31" s="280"/>
    </row>
    <row r="32" spans="1:29" ht="46.8" x14ac:dyDescent="0.3">
      <c r="A32" s="183" t="s">
        <v>647</v>
      </c>
      <c r="B32" s="167" t="s">
        <v>257</v>
      </c>
      <c r="C32" s="14" t="s">
        <v>259</v>
      </c>
      <c r="D32" s="165" t="s">
        <v>417</v>
      </c>
      <c r="E32" s="165" t="s">
        <v>452</v>
      </c>
      <c r="F32" s="165" t="s">
        <v>27</v>
      </c>
      <c r="G32" s="15"/>
      <c r="H32" s="165" t="s">
        <v>486</v>
      </c>
      <c r="I32" s="169">
        <v>358590.21</v>
      </c>
      <c r="J32" s="170">
        <v>149412.62</v>
      </c>
      <c r="K32" s="18">
        <v>185441.19</v>
      </c>
      <c r="L32" s="126">
        <f t="shared" si="0"/>
        <v>334853.81</v>
      </c>
      <c r="M32" s="18"/>
      <c r="N32" s="127">
        <f t="shared" si="1"/>
        <v>-23736.400000000023</v>
      </c>
      <c r="O32" s="128">
        <f t="shared" si="2"/>
        <v>-6.6193664350178496</v>
      </c>
      <c r="P32" s="9" t="b">
        <f>A32='[3]Quadro Geral'!$A$32</f>
        <v>0</v>
      </c>
      <c r="Q32" s="9" t="b">
        <f>B32='[3]Quadro Geral'!$B$32</f>
        <v>1</v>
      </c>
      <c r="R32" s="9" t="b">
        <f>D32='[3]Quadro Geral'!$C$32</f>
        <v>1</v>
      </c>
      <c r="S32" s="9" t="b">
        <f>E32='[3]Quadro Geral'!$D$32</f>
        <v>1</v>
      </c>
      <c r="T32" s="9" t="b">
        <f>F32='[3]Quadro Geral'!$E$32</f>
        <v>1</v>
      </c>
      <c r="U32" s="9" t="b">
        <f>G32='[3]Quadro Geral'!$F$32</f>
        <v>1</v>
      </c>
      <c r="V32" s="9" t="b">
        <f>H32='[3]Quadro Geral'!$G$32</f>
        <v>1</v>
      </c>
      <c r="W32" s="9" t="b">
        <f>I32='[3]Quadro Geral'!$I$32</f>
        <v>1</v>
      </c>
      <c r="X32" s="9" t="b">
        <f>J32=Despesa!G96</f>
        <v>1</v>
      </c>
      <c r="Y32" s="280">
        <f>'Diretrizes - Resumo'!AN3</f>
        <v>334853.81</v>
      </c>
      <c r="Z32" s="257" t="b">
        <f>Y32=L32</f>
        <v>1</v>
      </c>
    </row>
    <row r="33" spans="1:28" ht="62.4" x14ac:dyDescent="0.3">
      <c r="A33" s="183" t="s">
        <v>647</v>
      </c>
      <c r="B33" s="167" t="s">
        <v>257</v>
      </c>
      <c r="C33" s="14" t="s">
        <v>259</v>
      </c>
      <c r="D33" s="165" t="s">
        <v>418</v>
      </c>
      <c r="E33" s="165" t="s">
        <v>453</v>
      </c>
      <c r="F33" s="165" t="s">
        <v>128</v>
      </c>
      <c r="G33" s="15"/>
      <c r="H33" s="165" t="s">
        <v>487</v>
      </c>
      <c r="I33" s="169">
        <v>48403.97</v>
      </c>
      <c r="J33" s="170">
        <v>20168.28</v>
      </c>
      <c r="K33" s="18">
        <f>27768.25+856.209578978742</f>
        <v>28624.459578978742</v>
      </c>
      <c r="L33" s="126">
        <f t="shared" si="0"/>
        <v>48792.739578978741</v>
      </c>
      <c r="M33" s="18"/>
      <c r="N33" s="127">
        <f t="shared" si="1"/>
        <v>388.76957897873945</v>
      </c>
      <c r="O33" s="128">
        <f t="shared" si="2"/>
        <v>0.80317705134256423</v>
      </c>
      <c r="P33" s="99" t="b">
        <f>A33='[3]Quadro Geral'!$A$33</f>
        <v>0</v>
      </c>
      <c r="Q33" s="9" t="b">
        <f>B33='[3]Quadro Geral'!$B$33</f>
        <v>1</v>
      </c>
      <c r="R33" s="9" t="b">
        <f>D33='[3]Quadro Geral'!$C$33</f>
        <v>1</v>
      </c>
      <c r="S33" s="9" t="b">
        <f>E33='[3]Quadro Geral'!$D$33</f>
        <v>1</v>
      </c>
      <c r="T33" s="9" t="b">
        <f>F33='[3]Quadro Geral'!$E$33</f>
        <v>1</v>
      </c>
      <c r="U33" s="9" t="b">
        <f>G33='[3]Quadro Geral'!$F$33</f>
        <v>1</v>
      </c>
      <c r="V33" s="9" t="b">
        <f>H33='[3]Quadro Geral'!$G$33</f>
        <v>1</v>
      </c>
      <c r="W33" s="9" t="b">
        <f>I33='[3]Quadro Geral'!$I$33</f>
        <v>1</v>
      </c>
      <c r="X33" s="9" t="b">
        <f>J33=Despesa!G98</f>
        <v>1</v>
      </c>
      <c r="Y33" s="282">
        <f>'Diretrizes - Resumo'!AN4</f>
        <v>48792.739578978741</v>
      </c>
      <c r="Z33" s="257" t="b">
        <f>Y33=L33</f>
        <v>1</v>
      </c>
      <c r="AA33" s="288"/>
      <c r="AB33" s="284"/>
    </row>
    <row r="34" spans="1:28" ht="46.8" x14ac:dyDescent="0.3">
      <c r="A34" s="165" t="s">
        <v>390</v>
      </c>
      <c r="B34" s="167" t="s">
        <v>257</v>
      </c>
      <c r="C34" s="14" t="s">
        <v>259</v>
      </c>
      <c r="D34" s="165" t="s">
        <v>419</v>
      </c>
      <c r="E34" s="165" t="s">
        <v>454</v>
      </c>
      <c r="F34" s="165" t="s">
        <v>27</v>
      </c>
      <c r="G34" s="15"/>
      <c r="H34" s="165" t="s">
        <v>488</v>
      </c>
      <c r="I34" s="169">
        <v>468486.44</v>
      </c>
      <c r="J34" s="18">
        <v>100809.77</v>
      </c>
      <c r="K34" s="18">
        <f>365783.14-J34</f>
        <v>264973.37</v>
      </c>
      <c r="L34" s="126">
        <f t="shared" si="0"/>
        <v>365783.14</v>
      </c>
      <c r="M34" s="18"/>
      <c r="N34" s="127">
        <f t="shared" si="1"/>
        <v>-102703.29999999999</v>
      </c>
      <c r="O34" s="128">
        <f t="shared" si="2"/>
        <v>-21.922363430625651</v>
      </c>
      <c r="P34" s="9" t="b">
        <f>A34='[3]Quadro Geral'!$A$34</f>
        <v>1</v>
      </c>
      <c r="Q34" s="9" t="b">
        <f>B34='[3]Quadro Geral'!$B$34</f>
        <v>1</v>
      </c>
      <c r="R34" s="9" t="b">
        <f>D34='[3]Quadro Geral'!$C$34</f>
        <v>1</v>
      </c>
      <c r="S34" s="9" t="b">
        <f>E34='[3]Quadro Geral'!$D$34</f>
        <v>1</v>
      </c>
      <c r="T34" s="9" t="b">
        <f>F34='[3]Quadro Geral'!$E$34</f>
        <v>1</v>
      </c>
      <c r="U34" s="9" t="b">
        <f>G34='[3]Quadro Geral'!$F$34</f>
        <v>1</v>
      </c>
      <c r="V34" s="9" t="b">
        <f>H34='[3]Quadro Geral'!$G$34</f>
        <v>1</v>
      </c>
      <c r="W34" s="9" t="b">
        <f>I34='[3]Quadro Geral'!$I$34</f>
        <v>1</v>
      </c>
      <c r="X34" s="9" t="b">
        <f>J34=Despesa!G106</f>
        <v>1</v>
      </c>
      <c r="AB34" s="283"/>
    </row>
    <row r="35" spans="1:28" ht="31.2" x14ac:dyDescent="0.3">
      <c r="A35" s="165" t="s">
        <v>387</v>
      </c>
      <c r="B35" s="167" t="s">
        <v>257</v>
      </c>
      <c r="C35" s="14" t="s">
        <v>259</v>
      </c>
      <c r="D35" s="165" t="s">
        <v>420</v>
      </c>
      <c r="E35" s="165" t="s">
        <v>455</v>
      </c>
      <c r="F35" s="165" t="s">
        <v>35</v>
      </c>
      <c r="G35" s="15"/>
      <c r="H35" s="165" t="s">
        <v>489</v>
      </c>
      <c r="I35" s="169">
        <v>41000</v>
      </c>
      <c r="J35" s="18">
        <v>0</v>
      </c>
      <c r="K35" s="18">
        <v>41000</v>
      </c>
      <c r="L35" s="126">
        <f t="shared" si="0"/>
        <v>41000</v>
      </c>
      <c r="M35" s="18"/>
      <c r="N35" s="127">
        <f t="shared" si="1"/>
        <v>0</v>
      </c>
      <c r="O35" s="128">
        <f t="shared" si="2"/>
        <v>0</v>
      </c>
      <c r="P35" s="9" t="b">
        <f>A35='[3]Quadro Geral'!$A$35</f>
        <v>1</v>
      </c>
      <c r="Q35" s="9" t="b">
        <f>B35='[3]Quadro Geral'!$B$35</f>
        <v>1</v>
      </c>
      <c r="R35" s="9" t="b">
        <f>D35='[3]Quadro Geral'!$C$35</f>
        <v>1</v>
      </c>
      <c r="S35" s="9" t="b">
        <f>E35='[3]Quadro Geral'!$D$35</f>
        <v>1</v>
      </c>
      <c r="T35" s="9" t="b">
        <f>F35='[3]Quadro Geral'!$E$35</f>
        <v>1</v>
      </c>
      <c r="U35" s="9" t="b">
        <f>G35='[3]Quadro Geral'!$F$35</f>
        <v>1</v>
      </c>
      <c r="V35" s="9" t="b">
        <f>H35='[3]Quadro Geral'!$G$35</f>
        <v>1</v>
      </c>
      <c r="W35" s="9" t="b">
        <f>I35='[3]Quadro Geral'!$I$35</f>
        <v>1</v>
      </c>
      <c r="X35" s="9" t="b">
        <f>J35=Despesa!G22</f>
        <v>1</v>
      </c>
    </row>
    <row r="36" spans="1:28" ht="78" x14ac:dyDescent="0.3">
      <c r="A36" s="165" t="s">
        <v>376</v>
      </c>
      <c r="B36" s="167" t="s">
        <v>256</v>
      </c>
      <c r="C36" s="14" t="s">
        <v>259</v>
      </c>
      <c r="D36" s="165" t="s">
        <v>421</v>
      </c>
      <c r="E36" s="165" t="s">
        <v>456</v>
      </c>
      <c r="F36" s="165" t="s">
        <v>39</v>
      </c>
      <c r="G36" s="15"/>
      <c r="H36" s="165" t="s">
        <v>484</v>
      </c>
      <c r="I36" s="169">
        <v>4000000</v>
      </c>
      <c r="J36" s="18">
        <v>0</v>
      </c>
      <c r="K36" s="18">
        <v>4000000</v>
      </c>
      <c r="L36" s="126">
        <f t="shared" si="0"/>
        <v>4000000</v>
      </c>
      <c r="M36" s="18">
        <v>4000000</v>
      </c>
      <c r="N36" s="127">
        <f t="shared" si="1"/>
        <v>0</v>
      </c>
      <c r="O36" s="128">
        <f t="shared" si="2"/>
        <v>0</v>
      </c>
      <c r="P36" s="9" t="b">
        <f>A36='[3]Quadro Geral'!$A$36</f>
        <v>1</v>
      </c>
      <c r="Q36" s="9" t="b">
        <f>B36='[3]Quadro Geral'!$B$36</f>
        <v>1</v>
      </c>
      <c r="R36" s="9" t="b">
        <f>D36='[3]Quadro Geral'!$C$36</f>
        <v>1</v>
      </c>
      <c r="S36" s="9" t="b">
        <f>E36='[3]Quadro Geral'!$D$36</f>
        <v>1</v>
      </c>
      <c r="T36" s="9" t="b">
        <f>F36='[3]Quadro Geral'!$E$36</f>
        <v>1</v>
      </c>
      <c r="U36" s="9" t="b">
        <f>G36='[3]Quadro Geral'!$F$36</f>
        <v>1</v>
      </c>
      <c r="V36" s="9" t="b">
        <f>H36='[3]Quadro Geral'!$G$36</f>
        <v>1</v>
      </c>
      <c r="W36" s="9" t="b">
        <f>I36='[3]Quadro Geral'!$I$36</f>
        <v>1</v>
      </c>
      <c r="X36" s="9" t="b">
        <f>J36=Despesa!G44</f>
        <v>1</v>
      </c>
    </row>
    <row r="37" spans="1:28" ht="31.2" x14ac:dyDescent="0.3">
      <c r="A37" s="165" t="s">
        <v>387</v>
      </c>
      <c r="B37" s="167" t="s">
        <v>256</v>
      </c>
      <c r="C37" s="14" t="s">
        <v>259</v>
      </c>
      <c r="D37" s="165" t="s">
        <v>422</v>
      </c>
      <c r="E37" s="165" t="s">
        <v>457</v>
      </c>
      <c r="F37" s="165" t="s">
        <v>36</v>
      </c>
      <c r="G37" s="15"/>
      <c r="H37" s="165" t="s">
        <v>490</v>
      </c>
      <c r="I37" s="169">
        <v>5000</v>
      </c>
      <c r="J37" s="18">
        <v>0</v>
      </c>
      <c r="K37" s="18">
        <v>5000</v>
      </c>
      <c r="L37" s="126">
        <f t="shared" si="0"/>
        <v>5000</v>
      </c>
      <c r="M37" s="18"/>
      <c r="N37" s="127">
        <f t="shared" si="1"/>
        <v>0</v>
      </c>
      <c r="O37" s="128">
        <f t="shared" si="2"/>
        <v>0</v>
      </c>
      <c r="P37" s="9" t="b">
        <f>A37='[3]Quadro Geral'!$A$37</f>
        <v>1</v>
      </c>
      <c r="Q37" s="9" t="b">
        <f>B37='[3]Quadro Geral'!$B$37</f>
        <v>1</v>
      </c>
      <c r="R37" s="9" t="b">
        <f>D37='[3]Quadro Geral'!$C$37</f>
        <v>1</v>
      </c>
      <c r="S37" s="9" t="b">
        <f>E37='[3]Quadro Geral'!$D$37</f>
        <v>1</v>
      </c>
      <c r="T37" s="9" t="b">
        <f>F37='[3]Quadro Geral'!$E$37</f>
        <v>1</v>
      </c>
      <c r="U37" s="9" t="b">
        <f>G37='[3]Quadro Geral'!$F$37</f>
        <v>1</v>
      </c>
      <c r="V37" s="9" t="b">
        <f>H37='[3]Quadro Geral'!$G$37</f>
        <v>1</v>
      </c>
      <c r="W37" s="9" t="b">
        <f>I37='[3]Quadro Geral'!$I$37</f>
        <v>1</v>
      </c>
      <c r="X37" s="9" t="b">
        <f>J37=Despesa!G32</f>
        <v>1</v>
      </c>
    </row>
    <row r="38" spans="1:28" ht="46.8" x14ac:dyDescent="0.3">
      <c r="A38" s="165" t="s">
        <v>391</v>
      </c>
      <c r="B38" s="167" t="s">
        <v>257</v>
      </c>
      <c r="C38" s="14" t="s">
        <v>259</v>
      </c>
      <c r="D38" s="165" t="s">
        <v>423</v>
      </c>
      <c r="E38" s="165" t="s">
        <v>458</v>
      </c>
      <c r="F38" s="165" t="s">
        <v>36</v>
      </c>
      <c r="G38" s="15"/>
      <c r="H38" s="165" t="s">
        <v>491</v>
      </c>
      <c r="I38" s="169">
        <v>448555.14</v>
      </c>
      <c r="J38" s="18">
        <v>109279.78</v>
      </c>
      <c r="K38" s="18">
        <f>373243.66-J38</f>
        <v>263963.88</v>
      </c>
      <c r="L38" s="126">
        <f t="shared" si="0"/>
        <v>373243.66000000003</v>
      </c>
      <c r="M38" s="18"/>
      <c r="N38" s="127">
        <f t="shared" si="1"/>
        <v>-75311.479999999981</v>
      </c>
      <c r="O38" s="128">
        <f t="shared" si="2"/>
        <v>-16.78979311216899</v>
      </c>
      <c r="P38" s="9" t="b">
        <f>A38='[3]Quadro Geral'!$A$38</f>
        <v>1</v>
      </c>
      <c r="Q38" s="9" t="b">
        <f>B38='[3]Quadro Geral'!$B$38</f>
        <v>1</v>
      </c>
      <c r="R38" s="9" t="b">
        <f>D38='[3]Quadro Geral'!$C$38</f>
        <v>1</v>
      </c>
      <c r="S38" s="9" t="b">
        <f>E38='[3]Quadro Geral'!$D$38</f>
        <v>1</v>
      </c>
      <c r="T38" s="9" t="b">
        <f>F38='[3]Quadro Geral'!$E$38</f>
        <v>1</v>
      </c>
      <c r="U38" s="9" t="b">
        <f>G38='[3]Quadro Geral'!$F$38</f>
        <v>1</v>
      </c>
      <c r="V38" s="9" t="b">
        <f>H38='[3]Quadro Geral'!$G$38</f>
        <v>1</v>
      </c>
      <c r="W38" s="9" t="b">
        <f>I38='[3]Quadro Geral'!$I$38</f>
        <v>1</v>
      </c>
      <c r="X38" s="9" t="b">
        <f>J38=Despesa!G88</f>
        <v>1</v>
      </c>
    </row>
    <row r="39" spans="1:28" ht="93.6" x14ac:dyDescent="0.3">
      <c r="A39" s="165" t="s">
        <v>392</v>
      </c>
      <c r="B39" s="167" t="s">
        <v>256</v>
      </c>
      <c r="C39" s="14" t="s">
        <v>259</v>
      </c>
      <c r="D39" s="165" t="s">
        <v>424</v>
      </c>
      <c r="E39" s="165" t="s">
        <v>459</v>
      </c>
      <c r="F39" s="165" t="s">
        <v>39</v>
      </c>
      <c r="G39" s="15"/>
      <c r="H39" s="165" t="s">
        <v>492</v>
      </c>
      <c r="I39" s="169">
        <v>50000</v>
      </c>
      <c r="J39" s="18">
        <v>0</v>
      </c>
      <c r="K39" s="18"/>
      <c r="L39" s="126">
        <f t="shared" si="0"/>
        <v>0</v>
      </c>
      <c r="M39" s="18"/>
      <c r="N39" s="127">
        <f t="shared" si="1"/>
        <v>-50000</v>
      </c>
      <c r="O39" s="128">
        <f t="shared" si="2"/>
        <v>-100</v>
      </c>
      <c r="P39" s="9" t="b">
        <f>A39='[3]Quadro Geral'!$A$39</f>
        <v>1</v>
      </c>
      <c r="Q39" s="9" t="b">
        <f>B39='[3]Quadro Geral'!$B$39</f>
        <v>1</v>
      </c>
      <c r="R39" s="9" t="b">
        <f>D39='[3]Quadro Geral'!$C$39</f>
        <v>1</v>
      </c>
      <c r="S39" s="9" t="b">
        <f>E39='[3]Quadro Geral'!$D$39</f>
        <v>1</v>
      </c>
      <c r="T39" s="9" t="b">
        <f>F39='[3]Quadro Geral'!$E$39</f>
        <v>1</v>
      </c>
      <c r="U39" s="9" t="b">
        <f>G39='[3]Quadro Geral'!$F$39</f>
        <v>1</v>
      </c>
      <c r="V39" s="9" t="b">
        <f>H39='[3]Quadro Geral'!$G$39</f>
        <v>1</v>
      </c>
      <c r="W39" s="9" t="b">
        <f>I39='[3]Quadro Geral'!$I$39</f>
        <v>1</v>
      </c>
      <c r="X39" s="9" t="b">
        <f>J39=Despesa!G34</f>
        <v>1</v>
      </c>
    </row>
    <row r="40" spans="1:28" ht="156" x14ac:dyDescent="0.3">
      <c r="A40" s="165" t="s">
        <v>392</v>
      </c>
      <c r="B40" s="167" t="s">
        <v>256</v>
      </c>
      <c r="C40" s="14" t="s">
        <v>259</v>
      </c>
      <c r="D40" s="165" t="s">
        <v>425</v>
      </c>
      <c r="E40" s="165" t="s">
        <v>460</v>
      </c>
      <c r="F40" s="165" t="s">
        <v>128</v>
      </c>
      <c r="G40" s="15"/>
      <c r="H40" s="165" t="s">
        <v>493</v>
      </c>
      <c r="I40" s="169">
        <v>30000</v>
      </c>
      <c r="J40" s="18">
        <v>0</v>
      </c>
      <c r="K40" s="18">
        <v>50000</v>
      </c>
      <c r="L40" s="126">
        <f t="shared" si="0"/>
        <v>50000</v>
      </c>
      <c r="M40" s="18"/>
      <c r="N40" s="127">
        <f t="shared" si="1"/>
        <v>20000</v>
      </c>
      <c r="O40" s="128">
        <f t="shared" si="2"/>
        <v>66.666666666666657</v>
      </c>
      <c r="P40" s="9" t="b">
        <f>A40='[3]Quadro Geral'!$A$40</f>
        <v>1</v>
      </c>
      <c r="Q40" s="9" t="b">
        <f>B40='[3]Quadro Geral'!$B$40</f>
        <v>1</v>
      </c>
      <c r="R40" s="9" t="b">
        <f>D40='[3]Quadro Geral'!$C$40</f>
        <v>1</v>
      </c>
      <c r="S40" s="9" t="b">
        <f>E40='[3]Quadro Geral'!$D$40</f>
        <v>1</v>
      </c>
      <c r="T40" s="9" t="b">
        <f>F40='[3]Quadro Geral'!$E$40</f>
        <v>1</v>
      </c>
      <c r="U40" s="9" t="b">
        <f>G40='[3]Quadro Geral'!$F$40</f>
        <v>1</v>
      </c>
      <c r="V40" s="9" t="b">
        <f>H40='[3]Quadro Geral'!$G$40</f>
        <v>1</v>
      </c>
      <c r="W40" s="9" t="b">
        <f>I40='[3]Quadro Geral'!$I$40</f>
        <v>1</v>
      </c>
      <c r="X40" s="9" t="b">
        <f>J40=Despesa!G36</f>
        <v>1</v>
      </c>
    </row>
    <row r="41" spans="1:28" ht="78" x14ac:dyDescent="0.3">
      <c r="A41" s="166" t="s">
        <v>376</v>
      </c>
      <c r="B41" s="14" t="s">
        <v>256</v>
      </c>
      <c r="C41" s="14" t="s">
        <v>262</v>
      </c>
      <c r="D41" s="165" t="s">
        <v>426</v>
      </c>
      <c r="E41" s="165" t="s">
        <v>461</v>
      </c>
      <c r="F41" s="165" t="s">
        <v>39</v>
      </c>
      <c r="G41" s="165"/>
      <c r="H41" s="165" t="s">
        <v>494</v>
      </c>
      <c r="I41" s="169">
        <v>150000</v>
      </c>
      <c r="J41" s="18">
        <v>0</v>
      </c>
      <c r="K41" s="18">
        <v>0</v>
      </c>
      <c r="L41" s="126">
        <f t="shared" si="0"/>
        <v>0</v>
      </c>
      <c r="M41" s="18">
        <v>0</v>
      </c>
      <c r="N41" s="127">
        <f t="shared" si="1"/>
        <v>-150000</v>
      </c>
      <c r="O41" s="128">
        <f t="shared" si="2"/>
        <v>-100</v>
      </c>
      <c r="P41" s="9" t="b">
        <f>A41='[3]Quadro Geral'!$A$41</f>
        <v>1</v>
      </c>
      <c r="Q41" s="9" t="b">
        <f>B41='[3]Quadro Geral'!$B$41</f>
        <v>1</v>
      </c>
      <c r="R41" s="9" t="b">
        <f>D41='[3]Quadro Geral'!$C$41</f>
        <v>1</v>
      </c>
      <c r="S41" s="9" t="b">
        <f>E41='[3]Quadro Geral'!$D$41</f>
        <v>1</v>
      </c>
      <c r="T41" s="9" t="b">
        <f>F41='[3]Quadro Geral'!$E$41</f>
        <v>1</v>
      </c>
      <c r="U41" s="9" t="b">
        <f>G41='[3]Quadro Geral'!$F$41</f>
        <v>1</v>
      </c>
      <c r="V41" s="9" t="b">
        <f>H41='[3]Quadro Geral'!$G$41</f>
        <v>1</v>
      </c>
      <c r="W41" s="9" t="b">
        <f>I41='[3]Quadro Geral'!$I$41</f>
        <v>1</v>
      </c>
      <c r="X41" s="9" t="b">
        <f>J41=Despesa!G46</f>
        <v>1</v>
      </c>
    </row>
    <row r="42" spans="1:28" ht="31.2" x14ac:dyDescent="0.3">
      <c r="A42" s="166" t="s">
        <v>376</v>
      </c>
      <c r="B42" s="14" t="s">
        <v>256</v>
      </c>
      <c r="C42" s="14" t="s">
        <v>259</v>
      </c>
      <c r="D42" s="165" t="s">
        <v>427</v>
      </c>
      <c r="E42" s="185" t="s">
        <v>457</v>
      </c>
      <c r="F42" s="165" t="s">
        <v>36</v>
      </c>
      <c r="G42" s="165"/>
      <c r="H42" s="165" t="s">
        <v>495</v>
      </c>
      <c r="I42" s="168">
        <v>15000</v>
      </c>
      <c r="J42" s="18">
        <v>0</v>
      </c>
      <c r="K42" s="18">
        <v>15000</v>
      </c>
      <c r="L42" s="126">
        <f t="shared" si="0"/>
        <v>15000</v>
      </c>
      <c r="M42" s="18"/>
      <c r="N42" s="127">
        <f t="shared" si="1"/>
        <v>0</v>
      </c>
      <c r="O42" s="128">
        <f t="shared" si="2"/>
        <v>0</v>
      </c>
      <c r="P42" s="9" t="b">
        <f>A42='[3]Quadro Geral'!$A$42</f>
        <v>1</v>
      </c>
      <c r="Q42" s="9" t="b">
        <f>B42='[3]Quadro Geral'!$B$42</f>
        <v>1</v>
      </c>
      <c r="R42" s="9" t="b">
        <f>D42='[3]Quadro Geral'!$C$42</f>
        <v>1</v>
      </c>
      <c r="S42" s="9" t="b">
        <f>E42='[3]Quadro Geral'!$D$42</f>
        <v>1</v>
      </c>
      <c r="T42" s="9" t="b">
        <f>F42='[3]Quadro Geral'!$E$42</f>
        <v>1</v>
      </c>
      <c r="U42" s="9" t="b">
        <f>G42='[3]Quadro Geral'!$F$42</f>
        <v>1</v>
      </c>
      <c r="V42" s="9" t="b">
        <f>H42='[3]Quadro Geral'!$G$42</f>
        <v>1</v>
      </c>
      <c r="W42" s="9" t="b">
        <f>I42='[3]Quadro Geral'!$I$42</f>
        <v>1</v>
      </c>
      <c r="X42" s="9" t="b">
        <f>J42=Despesa!G48</f>
        <v>1</v>
      </c>
    </row>
    <row r="43" spans="1:28" x14ac:dyDescent="0.3">
      <c r="A43" s="358" t="s">
        <v>6</v>
      </c>
      <c r="B43" s="358"/>
      <c r="C43" s="358"/>
      <c r="D43" s="358"/>
      <c r="E43" s="358"/>
      <c r="F43" s="358"/>
      <c r="G43" s="358"/>
      <c r="H43" s="358"/>
      <c r="I43" s="19">
        <f>SUM(I8:I42)</f>
        <v>11313862.569010362</v>
      </c>
      <c r="J43" s="19">
        <f>SUM(J8:J42)</f>
        <v>1370809.0300000003</v>
      </c>
      <c r="K43" s="19">
        <f>SUM(K8:K42)</f>
        <v>10168429.206575384</v>
      </c>
      <c r="L43" s="19">
        <f>SUM(L8:L42)</f>
        <v>11539238.236575384</v>
      </c>
      <c r="M43" s="19">
        <f>SUM(M8:M42)</f>
        <v>5440000</v>
      </c>
      <c r="N43" s="19">
        <f>L43-I43</f>
        <v>225375.66756502166</v>
      </c>
      <c r="O43" s="17">
        <f t="shared" si="2"/>
        <v>1.9920311581505763</v>
      </c>
    </row>
    <row r="44" spans="1:28" x14ac:dyDescent="0.3">
      <c r="A44" s="104" t="s">
        <v>349</v>
      </c>
      <c r="B44" s="104"/>
      <c r="C44" s="104"/>
      <c r="D44" s="104"/>
      <c r="E44" s="104"/>
      <c r="F44" s="104"/>
      <c r="G44" s="104"/>
      <c r="H44" s="104"/>
      <c r="I44" s="129" t="b">
        <f>I43='Anexo 1. Fontes e Aplicações'!C36</f>
        <v>1</v>
      </c>
      <c r="J44" s="129" t="b">
        <f>J43='Anexo 1. Fontes e Aplicações'!D36</f>
        <v>1</v>
      </c>
      <c r="K44" s="129" t="b">
        <f>K43='Anexo 1. Fontes e Aplicações'!E36</f>
        <v>1</v>
      </c>
      <c r="L44" s="129" t="b">
        <f>L43='Anexo 1. Fontes e Aplicações'!F36</f>
        <v>1</v>
      </c>
      <c r="M44" s="129" t="b">
        <f>M43='Anexo 1. Fontes e Aplicações'!F22</f>
        <v>1</v>
      </c>
      <c r="N44" s="129" t="b">
        <f>N43='Anexo 1. Fontes e Aplicações'!G36</f>
        <v>1</v>
      </c>
      <c r="O44" s="104">
        <f t="shared" si="2"/>
        <v>100</v>
      </c>
    </row>
    <row r="45" spans="1:28" x14ac:dyDescent="0.3">
      <c r="A45" s="351" t="s">
        <v>178</v>
      </c>
      <c r="B45" s="351"/>
      <c r="C45" s="351"/>
      <c r="D45" s="351"/>
      <c r="E45" s="351"/>
      <c r="F45" s="351"/>
      <c r="G45" s="351"/>
      <c r="H45" s="351"/>
      <c r="I45" s="351"/>
      <c r="J45" s="351"/>
      <c r="K45" s="351"/>
      <c r="L45" s="351"/>
      <c r="M45" s="351"/>
      <c r="N45" s="351"/>
      <c r="O45" s="351"/>
    </row>
    <row r="46" spans="1:28" ht="130.5" customHeight="1" x14ac:dyDescent="0.3">
      <c r="A46" s="357"/>
      <c r="B46" s="357"/>
      <c r="C46" s="357"/>
      <c r="D46" s="357"/>
      <c r="E46" s="357"/>
      <c r="F46" s="357"/>
      <c r="G46" s="357"/>
      <c r="H46" s="357"/>
      <c r="I46" s="357"/>
      <c r="J46" s="357"/>
      <c r="K46" s="357"/>
      <c r="L46" s="357"/>
      <c r="M46" s="357"/>
      <c r="N46" s="357"/>
      <c r="O46" s="357"/>
    </row>
    <row r="47" spans="1:28" ht="15" customHeight="1" x14ac:dyDescent="0.3">
      <c r="A47" s="356"/>
      <c r="B47" s="356"/>
      <c r="C47" s="356"/>
      <c r="D47" s="356"/>
      <c r="E47" s="356"/>
      <c r="F47" s="356"/>
      <c r="G47" s="356"/>
      <c r="H47" s="356"/>
      <c r="I47" s="356"/>
      <c r="J47" s="356"/>
      <c r="K47" s="356"/>
      <c r="L47" s="356"/>
      <c r="M47" s="356"/>
      <c r="N47" s="356"/>
      <c r="O47" s="356"/>
    </row>
  </sheetData>
  <sheetProtection formatCells="0" formatRows="0" insertRows="0" deleteRows="0"/>
  <autoFilter ref="A6:L45" xr:uid="{00000000-0009-0000-0000-000003000000}">
    <filterColumn colId="9" showButton="0"/>
  </autoFilter>
  <mergeCells count="24">
    <mergeCell ref="AC8:AD9"/>
    <mergeCell ref="AB8:AB9"/>
    <mergeCell ref="A1:O1"/>
    <mergeCell ref="H6:H7"/>
    <mergeCell ref="A3:O3"/>
    <mergeCell ref="A6:A7"/>
    <mergeCell ref="B6:B7"/>
    <mergeCell ref="D6:D7"/>
    <mergeCell ref="F6:F7"/>
    <mergeCell ref="E6:E7"/>
    <mergeCell ref="A2:O2"/>
    <mergeCell ref="J6:K6"/>
    <mergeCell ref="M6:M7"/>
    <mergeCell ref="A5:M5"/>
    <mergeCell ref="N5:O6"/>
    <mergeCell ref="C6:C7"/>
    <mergeCell ref="Z5:Z9"/>
    <mergeCell ref="A47:O47"/>
    <mergeCell ref="A46:O46"/>
    <mergeCell ref="A45:O45"/>
    <mergeCell ref="I6:I7"/>
    <mergeCell ref="L6:L7"/>
    <mergeCell ref="A43:H43"/>
    <mergeCell ref="G6:G7"/>
  </mergeCells>
  <conditionalFormatting sqref="I44:N44">
    <cfRule type="cellIs" dxfId="70" priority="7" operator="equal">
      <formula>TRUE</formula>
    </cfRule>
    <cfRule type="cellIs" dxfId="69" priority="8" operator="equal">
      <formula>TRUE</formula>
    </cfRule>
  </conditionalFormatting>
  <conditionalFormatting sqref="Z33">
    <cfRule type="containsText" dxfId="68" priority="1" operator="containsText" text="Falso">
      <formula>NOT(ISERROR(SEARCH("Falso",Z33)))</formula>
    </cfRule>
    <cfRule type="cellIs" dxfId="67" priority="2" operator="equal">
      <formula>TRUE</formula>
    </cfRule>
  </conditionalFormatting>
  <conditionalFormatting sqref="Z25">
    <cfRule type="containsText" dxfId="66" priority="5" operator="containsText" text="Falso">
      <formula>NOT(ISERROR(SEARCH("Falso",Z25)))</formula>
    </cfRule>
    <cfRule type="cellIs" dxfId="65" priority="6" operator="equal">
      <formula>TRUE</formula>
    </cfRule>
  </conditionalFormatting>
  <conditionalFormatting sqref="Z32">
    <cfRule type="containsText" dxfId="64" priority="3" operator="containsText" text="Falso">
      <formula>NOT(ISERROR(SEARCH("Falso",Z32)))</formula>
    </cfRule>
    <cfRule type="cellIs" dxfId="63" priority="4" operator="equal">
      <formula>TRUE</formula>
    </cfRule>
  </conditionalFormatting>
  <dataValidations count="1">
    <dataValidation type="list" allowBlank="1" showInputMessage="1" showErrorMessage="1" sqref="C8:C42" xr:uid="{00000000-0002-0000-0300-000000000000}">
      <formula1>"AT, N, R,E,C "</formula1>
    </dataValidation>
  </dataValidations>
  <pageMargins left="0.23622047244094491" right="0.23622047244094491" top="0.27" bottom="0.17" header="0.31496062992125984" footer="0.31496062992125984"/>
  <pageSetup paperSize="9" scale="41" fitToHeight="0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300-000001000000}">
          <x14:formula1>
            <xm:f>Resumo!$B$1:$B$17</xm:f>
          </x14:formula1>
          <xm:sqref>G8:G42</xm:sqref>
        </x14:dataValidation>
        <x14:dataValidation type="list" allowBlank="1" showInputMessage="1" showErrorMessage="1" xr:uid="{00000000-0002-0000-0300-000002000000}">
          <x14:formula1>
            <xm:f>'\\fs01\fs-caubr\Users\patriciagomo\Desktop\Reprogramação 2020\[Tabelas Diretrizes - Reprog 2020.xlsx]Validação de dados'!#REF!</xm:f>
          </x14:formula1>
          <xm:sqref>B8:B40 F8:F41</xm:sqref>
        </x14:dataValidation>
        <x14:dataValidation type="list" allowBlank="1" showInputMessage="1" showErrorMessage="1" xr:uid="{00000000-0002-0000-0300-000003000000}">
          <x14:formula1>
            <xm:f>'\\fs01\fs-caubr\Users\ralfe.vinhas\Desktop\Financeiro\Programação 2023\[Plano de Ação e Orçamento CAUBA - site.xlsx]Validação de dados'!#REF!</xm:f>
          </x14:formula1>
          <xm:sqref>B41:B42 F42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7">
    <tabColor rgb="FFFF6900"/>
    <pageSetUpPr fitToPage="1"/>
  </sheetPr>
  <dimension ref="A1:Y63"/>
  <sheetViews>
    <sheetView showGridLines="0" zoomScale="70" zoomScaleNormal="70" zoomScaleSheetLayoutView="80" workbookViewId="0">
      <selection sqref="A1:I1"/>
    </sheetView>
  </sheetViews>
  <sheetFormatPr defaultColWidth="9.109375" defaultRowHeight="15.6" x14ac:dyDescent="0.3"/>
  <cols>
    <col min="1" max="1" width="53.33203125" style="101" customWidth="1"/>
    <col min="2" max="2" width="20" style="101" customWidth="1"/>
    <col min="3" max="5" width="17.5546875" style="101" customWidth="1"/>
    <col min="6" max="6" width="19.5546875" style="101" customWidth="1"/>
    <col min="7" max="7" width="19.109375" style="101" customWidth="1"/>
    <col min="8" max="9" width="17.5546875" style="101" customWidth="1"/>
    <col min="10" max="10" width="22.5546875" style="101" hidden="1" customWidth="1"/>
    <col min="11" max="11" width="22.5546875" style="181" hidden="1" customWidth="1"/>
    <col min="12" max="12" width="20.5546875" style="250" hidden="1" customWidth="1"/>
    <col min="13" max="13" width="19" style="101" hidden="1" customWidth="1"/>
    <col min="14" max="14" width="19.109375" style="101" hidden="1" customWidth="1"/>
    <col min="15" max="15" width="13.44140625" style="101" hidden="1" customWidth="1"/>
    <col min="16" max="16" width="15.6640625" style="101" customWidth="1"/>
    <col min="17" max="17" width="15.5546875" style="101" customWidth="1"/>
    <col min="18" max="16384" width="9.109375" style="101"/>
  </cols>
  <sheetData>
    <row r="1" spans="1:25" ht="79.5" customHeight="1" x14ac:dyDescent="0.3">
      <c r="A1" s="346" t="s">
        <v>269</v>
      </c>
      <c r="B1" s="346"/>
      <c r="C1" s="346"/>
      <c r="D1" s="346"/>
      <c r="E1" s="346"/>
      <c r="F1" s="346"/>
      <c r="G1" s="346"/>
      <c r="H1" s="346"/>
      <c r="I1" s="346"/>
    </row>
    <row r="2" spans="1:25" ht="24.75" customHeight="1" x14ac:dyDescent="0.3">
      <c r="A2" s="383" t="str" cm="1">
        <f t="array" ref="A2">'Quadro Geral'!A2:O2</f>
        <v>CAU/BA</v>
      </c>
      <c r="B2" s="384"/>
      <c r="C2" s="384"/>
      <c r="D2" s="384"/>
      <c r="E2" s="384"/>
      <c r="F2" s="384"/>
      <c r="G2" s="384"/>
      <c r="H2" s="384"/>
      <c r="I2" s="384"/>
      <c r="M2" s="320"/>
      <c r="N2" s="99"/>
      <c r="O2" s="99"/>
      <c r="P2" s="99"/>
      <c r="Q2" s="99"/>
    </row>
    <row r="3" spans="1:25" s="9" customFormat="1" ht="24.75" customHeight="1" x14ac:dyDescent="0.3">
      <c r="A3" s="347" t="s">
        <v>283</v>
      </c>
      <c r="B3" s="348"/>
      <c r="C3" s="348"/>
      <c r="D3" s="348"/>
      <c r="E3" s="348"/>
      <c r="F3" s="348"/>
      <c r="G3" s="348"/>
      <c r="H3" s="348"/>
      <c r="I3" s="348"/>
      <c r="J3" s="57"/>
      <c r="K3" s="57"/>
      <c r="L3" s="251"/>
      <c r="M3" s="320"/>
      <c r="N3" s="99"/>
      <c r="O3" s="99"/>
      <c r="P3" s="99"/>
      <c r="Q3" s="99"/>
      <c r="R3" s="287"/>
      <c r="S3" s="287"/>
      <c r="T3" s="287"/>
    </row>
    <row r="4" spans="1:25" s="9" customFormat="1" ht="24.75" customHeight="1" x14ac:dyDescent="0.3">
      <c r="A4" s="404"/>
      <c r="B4" s="404"/>
      <c r="C4" s="404"/>
      <c r="D4" s="404"/>
      <c r="E4" s="404"/>
      <c r="F4" s="404"/>
      <c r="G4" s="41" t="s">
        <v>23</v>
      </c>
      <c r="H4" s="106"/>
      <c r="I4" s="57"/>
      <c r="J4" s="57"/>
      <c r="K4" s="57"/>
      <c r="L4" s="251"/>
      <c r="M4" s="320"/>
      <c r="N4" s="99"/>
      <c r="O4" s="99"/>
      <c r="P4" s="99"/>
      <c r="Q4" s="99"/>
      <c r="R4" s="287"/>
      <c r="S4" s="287"/>
      <c r="T4" s="287"/>
    </row>
    <row r="5" spans="1:25" ht="24.75" customHeight="1" x14ac:dyDescent="0.3">
      <c r="A5" s="379" t="s">
        <v>7</v>
      </c>
      <c r="B5" s="380"/>
      <c r="C5" s="387" t="s">
        <v>284</v>
      </c>
      <c r="D5" s="394" t="s">
        <v>276</v>
      </c>
      <c r="E5" s="395"/>
      <c r="F5" s="396"/>
      <c r="G5" s="397" t="s">
        <v>24</v>
      </c>
      <c r="H5" s="398"/>
      <c r="I5" s="391" t="s">
        <v>166</v>
      </c>
      <c r="L5" s="252"/>
      <c r="M5" s="320"/>
      <c r="N5" s="99"/>
      <c r="O5" s="99"/>
      <c r="P5" s="99"/>
      <c r="Q5" s="99"/>
      <c r="R5" s="70"/>
      <c r="S5" s="70"/>
      <c r="T5" s="70"/>
      <c r="U5" s="70"/>
      <c r="V5" s="70"/>
      <c r="W5" s="70"/>
      <c r="X5" s="70"/>
      <c r="Y5" s="70"/>
    </row>
    <row r="6" spans="1:25" ht="53.25" customHeight="1" x14ac:dyDescent="0.3">
      <c r="A6" s="381"/>
      <c r="B6" s="382"/>
      <c r="C6" s="388"/>
      <c r="D6" s="399" t="s">
        <v>501</v>
      </c>
      <c r="E6" s="399" t="s">
        <v>502</v>
      </c>
      <c r="F6" s="387" t="s">
        <v>350</v>
      </c>
      <c r="G6" s="391" t="s">
        <v>167</v>
      </c>
      <c r="H6" s="391" t="s">
        <v>168</v>
      </c>
      <c r="I6" s="405"/>
      <c r="M6" s="320"/>
      <c r="N6" s="99"/>
      <c r="O6" s="99"/>
      <c r="P6" s="99"/>
      <c r="Q6" s="99"/>
    </row>
    <row r="7" spans="1:25" ht="24.75" customHeight="1" x14ac:dyDescent="0.3">
      <c r="A7" s="351" t="s">
        <v>8</v>
      </c>
      <c r="B7" s="351"/>
      <c r="C7" s="389"/>
      <c r="D7" s="400"/>
      <c r="E7" s="400"/>
      <c r="F7" s="389"/>
      <c r="G7" s="392"/>
      <c r="H7" s="392"/>
      <c r="I7" s="392"/>
      <c r="M7" s="320"/>
      <c r="N7" s="99"/>
      <c r="O7" s="99"/>
      <c r="P7" s="99"/>
      <c r="Q7" s="99"/>
    </row>
    <row r="8" spans="1:25" ht="24.75" customHeight="1" x14ac:dyDescent="0.3">
      <c r="A8" s="386" t="s">
        <v>9</v>
      </c>
      <c r="B8" s="386"/>
      <c r="C8" s="130">
        <f>C9+C19+C20+C21</f>
        <v>5723862.5690103611</v>
      </c>
      <c r="D8" s="130">
        <f>D9+D19+D20+D21</f>
        <v>3217361.1099999994</v>
      </c>
      <c r="E8" s="130">
        <f>E9+E19+E20+E21</f>
        <v>2881877.1265753829</v>
      </c>
      <c r="F8" s="130">
        <f>F9+F19+F20+F21</f>
        <v>6099238.2365753837</v>
      </c>
      <c r="G8" s="130">
        <f>F8-C8</f>
        <v>375375.6675650226</v>
      </c>
      <c r="H8" s="131">
        <f>IFERROR(G8/C8*100,)</f>
        <v>6.5580831656816647</v>
      </c>
      <c r="I8" s="131">
        <f>IFERROR(F8/$F$25*100,0)</f>
        <v>52.856506742732059</v>
      </c>
      <c r="J8" s="101" t="b">
        <f>C8='[3]Anexo 1. Fontes e Aplicações'!$D$8</f>
        <v>1</v>
      </c>
      <c r="L8" s="253"/>
      <c r="M8" s="320"/>
      <c r="N8" s="99"/>
      <c r="O8" s="99"/>
      <c r="P8" s="99"/>
      <c r="Q8" s="279"/>
      <c r="R8" s="279"/>
      <c r="S8" s="279"/>
      <c r="T8" s="279"/>
      <c r="U8" s="279"/>
    </row>
    <row r="9" spans="1:25" ht="24.75" customHeight="1" x14ac:dyDescent="0.3">
      <c r="A9" s="393" t="s">
        <v>93</v>
      </c>
      <c r="B9" s="393"/>
      <c r="C9" s="130">
        <f>C10+C17+C18</f>
        <v>4708747.3100000005</v>
      </c>
      <c r="D9" s="130">
        <f>D10+D17+D18</f>
        <v>2643155.5199999996</v>
      </c>
      <c r="E9" s="130">
        <f>E10+E17+E18</f>
        <v>2439332.6399999997</v>
      </c>
      <c r="F9" s="130">
        <f>F10+F17+F18</f>
        <v>5082488.16</v>
      </c>
      <c r="G9" s="130">
        <f>F9-C9</f>
        <v>373740.84999999963</v>
      </c>
      <c r="H9" s="131">
        <f t="shared" ref="H9:H36" si="0">IFERROR(G9/C9*100,)</f>
        <v>7.937160892160926</v>
      </c>
      <c r="I9" s="131">
        <f t="shared" ref="I9:I25" si="1">IFERROR(F9/$F$25*100,0)</f>
        <v>44.045265864173558</v>
      </c>
      <c r="J9" s="101" t="b">
        <f>C9='[3]Anexo 1. Fontes e Aplicações'!$D$9</f>
        <v>1</v>
      </c>
      <c r="L9" s="253">
        <f>'Diretrizes - Resumo'!AK4</f>
        <v>5082488.16</v>
      </c>
      <c r="M9" s="257" t="b">
        <f t="shared" ref="M9:M18" si="2">L9=F9</f>
        <v>1</v>
      </c>
      <c r="Q9" s="279"/>
      <c r="R9" s="279"/>
      <c r="S9" s="279"/>
      <c r="T9" s="279"/>
      <c r="U9" s="279"/>
    </row>
    <row r="10" spans="1:25" ht="24.75" customHeight="1" x14ac:dyDescent="0.3">
      <c r="A10" s="393" t="s">
        <v>10</v>
      </c>
      <c r="B10" s="393"/>
      <c r="C10" s="130">
        <f>C11+C14</f>
        <v>2691902.12</v>
      </c>
      <c r="D10" s="130">
        <f>D11+D14</f>
        <v>1595258</v>
      </c>
      <c r="E10" s="130">
        <f>E11+E14</f>
        <v>953565.23999999987</v>
      </c>
      <c r="F10" s="130">
        <f>F11+F14</f>
        <v>2548823.2400000002</v>
      </c>
      <c r="G10" s="130">
        <f>F10-C10</f>
        <v>-143078.87999999989</v>
      </c>
      <c r="H10" s="131">
        <f t="shared" si="0"/>
        <v>-5.3151590816385212</v>
      </c>
      <c r="I10" s="131">
        <f t="shared" si="1"/>
        <v>22.08831456413747</v>
      </c>
      <c r="J10" s="181" t="b">
        <f>C10='[3]Anexo 1. Fontes e Aplicações'!$D$10</f>
        <v>1</v>
      </c>
      <c r="L10" s="253">
        <f>'Diretrizes - Resumo'!AK5</f>
        <v>2548823.2400000002</v>
      </c>
      <c r="M10" s="257" t="b">
        <f t="shared" si="2"/>
        <v>1</v>
      </c>
      <c r="N10" s="279"/>
      <c r="O10" s="390"/>
      <c r="P10" s="390"/>
      <c r="Q10" s="390"/>
      <c r="R10" s="390"/>
      <c r="S10" s="390"/>
      <c r="T10" s="390"/>
    </row>
    <row r="11" spans="1:25" ht="24.75" customHeight="1" x14ac:dyDescent="0.3">
      <c r="A11" s="393" t="s">
        <v>11</v>
      </c>
      <c r="B11" s="393"/>
      <c r="C11" s="132">
        <f>SUM(C12:C13)</f>
        <v>2420015.23</v>
      </c>
      <c r="D11" s="132">
        <f>SUM(D12:D13)</f>
        <v>1489135.85</v>
      </c>
      <c r="E11" s="132">
        <f>SUM(E12:E13)</f>
        <v>829268.39999999991</v>
      </c>
      <c r="F11" s="133">
        <f>SUM(F12:F13)</f>
        <v>2318404.25</v>
      </c>
      <c r="G11" s="130">
        <f>F11-C11</f>
        <v>-101610.97999999998</v>
      </c>
      <c r="H11" s="131">
        <f t="shared" si="0"/>
        <v>-4.1987744019280395</v>
      </c>
      <c r="I11" s="131">
        <f t="shared" si="1"/>
        <v>20.091484398436826</v>
      </c>
      <c r="J11" s="181" t="b">
        <f>C11='[3]Anexo 1. Fontes e Aplicações'!$D$11</f>
        <v>1</v>
      </c>
      <c r="L11" s="253">
        <f>'Diretrizes - Resumo'!AK6</f>
        <v>2318404.25</v>
      </c>
      <c r="M11" s="257" t="b">
        <f t="shared" si="2"/>
        <v>1</v>
      </c>
      <c r="N11" s="279"/>
      <c r="O11" s="390"/>
      <c r="P11" s="390"/>
      <c r="Q11" s="390"/>
      <c r="R11" s="390"/>
      <c r="S11" s="390"/>
      <c r="T11" s="390"/>
    </row>
    <row r="12" spans="1:25" ht="24.75" customHeight="1" x14ac:dyDescent="0.3">
      <c r="A12" s="403" t="s">
        <v>498</v>
      </c>
      <c r="B12" s="403"/>
      <c r="C12" s="117">
        <v>2050324.46</v>
      </c>
      <c r="D12" s="117">
        <v>1166876.21</v>
      </c>
      <c r="E12" s="117">
        <v>611463.19999999995</v>
      </c>
      <c r="F12" s="133">
        <f>SUM(D12:E12)</f>
        <v>1778339.41</v>
      </c>
      <c r="G12" s="130">
        <f>F12-C12</f>
        <v>-271985.05000000005</v>
      </c>
      <c r="H12" s="131">
        <f t="shared" si="0"/>
        <v>-13.265463847609759</v>
      </c>
      <c r="I12" s="131">
        <f t="shared" si="1"/>
        <v>15.411237497145008</v>
      </c>
      <c r="J12" s="181" t="b">
        <f>C12='[3]Anexo 1. Fontes e Aplicações'!$D$12</f>
        <v>1</v>
      </c>
      <c r="L12" s="253">
        <f>'Diretrizes - Resumo'!AK7</f>
        <v>1778339.4100000001</v>
      </c>
      <c r="M12" s="257" t="b">
        <f t="shared" si="2"/>
        <v>1</v>
      </c>
      <c r="N12" s="253">
        <f>[7]Sheet!$H$16</f>
        <v>1166876.21</v>
      </c>
      <c r="O12" s="257" t="b">
        <f>N12=D12</f>
        <v>1</v>
      </c>
      <c r="P12" s="186"/>
      <c r="Q12" s="70"/>
      <c r="R12" s="70"/>
      <c r="S12" s="70"/>
      <c r="T12" s="70"/>
    </row>
    <row r="13" spans="1:25" ht="24.75" customHeight="1" x14ac:dyDescent="0.3">
      <c r="A13" s="403" t="s">
        <v>90</v>
      </c>
      <c r="B13" s="403"/>
      <c r="C13" s="117">
        <v>369690.77</v>
      </c>
      <c r="D13" s="117">
        <f>316515.01+1083.55+4661.08</f>
        <v>322259.64</v>
      </c>
      <c r="E13" s="117">
        <v>217805.2</v>
      </c>
      <c r="F13" s="133">
        <f>SUM(D13:E13)</f>
        <v>540064.84000000008</v>
      </c>
      <c r="G13" s="130">
        <f t="shared" ref="G13:G36" si="3">F13-C13</f>
        <v>170374.07000000007</v>
      </c>
      <c r="H13" s="131">
        <f t="shared" si="0"/>
        <v>46.085562265998703</v>
      </c>
      <c r="I13" s="131">
        <f t="shared" si="1"/>
        <v>4.6802469012918184</v>
      </c>
      <c r="J13" s="181" t="b">
        <f>C13='[3]Anexo 1. Fontes e Aplicações'!$D$13</f>
        <v>1</v>
      </c>
      <c r="L13" s="253">
        <f>'Diretrizes - Resumo'!AK8</f>
        <v>540064.84</v>
      </c>
      <c r="M13" s="257" t="b">
        <f t="shared" si="2"/>
        <v>1</v>
      </c>
      <c r="N13" s="253">
        <f>[7]Sheet!$H$17+[7]Sheet!$H$20+[7]Sheet!$H$22</f>
        <v>322259.64</v>
      </c>
      <c r="O13" s="257" t="b">
        <f>N13=D13</f>
        <v>1</v>
      </c>
      <c r="P13" s="70"/>
      <c r="Q13" s="70"/>
      <c r="R13" s="70"/>
      <c r="S13" s="70"/>
      <c r="T13" s="70"/>
    </row>
    <row r="14" spans="1:25" ht="24.75" customHeight="1" x14ac:dyDescent="0.3">
      <c r="A14" s="393" t="s">
        <v>12</v>
      </c>
      <c r="B14" s="393"/>
      <c r="C14" s="132">
        <f>SUM(C15:C16)</f>
        <v>271886.89</v>
      </c>
      <c r="D14" s="132">
        <f>SUM(D15:D16)</f>
        <v>106122.15</v>
      </c>
      <c r="E14" s="132">
        <f>SUM(E15:E16)</f>
        <v>124296.84</v>
      </c>
      <c r="F14" s="132">
        <f>SUM(F15:F16)</f>
        <v>230418.99</v>
      </c>
      <c r="G14" s="130">
        <f t="shared" si="3"/>
        <v>-41467.900000000023</v>
      </c>
      <c r="H14" s="131">
        <f t="shared" si="0"/>
        <v>-15.251893903380195</v>
      </c>
      <c r="I14" s="131">
        <f t="shared" si="1"/>
        <v>1.9968301657006411</v>
      </c>
      <c r="J14" s="181" t="b">
        <f>C14='[3]Anexo 1. Fontes e Aplicações'!$D$14</f>
        <v>1</v>
      </c>
      <c r="L14" s="253">
        <f>'Diretrizes - Resumo'!AK9</f>
        <v>230418.99</v>
      </c>
      <c r="M14" s="257" t="b">
        <f t="shared" si="2"/>
        <v>1</v>
      </c>
      <c r="N14" s="253"/>
      <c r="O14" s="257"/>
    </row>
    <row r="15" spans="1:25" ht="24.75" customHeight="1" x14ac:dyDescent="0.3">
      <c r="A15" s="403" t="s">
        <v>499</v>
      </c>
      <c r="B15" s="403"/>
      <c r="C15" s="117">
        <v>172277.64</v>
      </c>
      <c r="D15" s="117">
        <v>34105.96</v>
      </c>
      <c r="E15" s="117">
        <v>80172.600000000006</v>
      </c>
      <c r="F15" s="133">
        <f>SUM(D15:E15)</f>
        <v>114278.56</v>
      </c>
      <c r="G15" s="130">
        <f t="shared" si="3"/>
        <v>-57999.080000000016</v>
      </c>
      <c r="H15" s="131">
        <f t="shared" si="0"/>
        <v>-33.66605207733285</v>
      </c>
      <c r="I15" s="131">
        <f t="shared" si="1"/>
        <v>0.99034752257542091</v>
      </c>
      <c r="J15" s="181" t="b">
        <f>C15='[3]Anexo 1. Fontes e Aplicações'!$D$15</f>
        <v>1</v>
      </c>
      <c r="L15" s="253">
        <f>'Diretrizes - Resumo'!AK10</f>
        <v>114278.56</v>
      </c>
      <c r="M15" s="257" t="b">
        <f t="shared" si="2"/>
        <v>1</v>
      </c>
      <c r="N15" s="253">
        <f>[7]Sheet!$H$18</f>
        <v>34105.96</v>
      </c>
      <c r="O15" s="257" t="b">
        <f>N15=D15</f>
        <v>1</v>
      </c>
    </row>
    <row r="16" spans="1:25" ht="24.75" customHeight="1" x14ac:dyDescent="0.3">
      <c r="A16" s="403" t="s">
        <v>91</v>
      </c>
      <c r="B16" s="403"/>
      <c r="C16" s="117">
        <v>99609.25</v>
      </c>
      <c r="D16" s="117">
        <v>72016.19</v>
      </c>
      <c r="E16" s="117">
        <v>44124.24</v>
      </c>
      <c r="F16" s="133">
        <f t="shared" ref="F16:F24" si="4">SUM(D16:E16)</f>
        <v>116140.43</v>
      </c>
      <c r="G16" s="130">
        <f t="shared" si="3"/>
        <v>16531.179999999993</v>
      </c>
      <c r="H16" s="131">
        <f t="shared" si="0"/>
        <v>16.596028983252051</v>
      </c>
      <c r="I16" s="131">
        <f t="shared" si="1"/>
        <v>1.0064826431252203</v>
      </c>
      <c r="J16" s="181" t="b">
        <f>C16='[3]Anexo 1. Fontes e Aplicações'!$D$16</f>
        <v>1</v>
      </c>
      <c r="L16" s="253">
        <f>'Diretrizes - Resumo'!AK11</f>
        <v>116140.43</v>
      </c>
      <c r="M16" s="257" t="b">
        <f t="shared" si="2"/>
        <v>1</v>
      </c>
      <c r="N16" s="253">
        <f>[7]Sheet!$H$19</f>
        <v>72016.19</v>
      </c>
      <c r="O16" s="257" t="b">
        <f>N16=D16</f>
        <v>1</v>
      </c>
    </row>
    <row r="17" spans="1:16" ht="24.75" customHeight="1" x14ac:dyDescent="0.3">
      <c r="A17" s="385" t="s">
        <v>78</v>
      </c>
      <c r="B17" s="385"/>
      <c r="C17" s="117">
        <v>1814966.75</v>
      </c>
      <c r="D17" s="117">
        <v>932002.76</v>
      </c>
      <c r="E17" s="117">
        <v>1351878.42</v>
      </c>
      <c r="F17" s="133">
        <f t="shared" si="4"/>
        <v>2283881.1799999997</v>
      </c>
      <c r="G17" s="130">
        <f t="shared" si="3"/>
        <v>468914.4299999997</v>
      </c>
      <c r="H17" s="131">
        <f t="shared" si="0"/>
        <v>25.835979088873103</v>
      </c>
      <c r="I17" s="131">
        <f t="shared" si="1"/>
        <v>19.792304597377047</v>
      </c>
      <c r="J17" s="181" t="b">
        <f>C17='[3]Anexo 1. Fontes e Aplicações'!$D$17</f>
        <v>1</v>
      </c>
      <c r="L17" s="254">
        <f>'Diretrizes - Resumo'!AK12</f>
        <v>2283881.1799999997</v>
      </c>
      <c r="M17" s="257" t="b">
        <f t="shared" si="2"/>
        <v>1</v>
      </c>
      <c r="N17" s="253">
        <f>[7]Sheet!$H$72</f>
        <v>932002.76</v>
      </c>
      <c r="O17" s="257" t="b">
        <f>N17=D17</f>
        <v>1</v>
      </c>
    </row>
    <row r="18" spans="1:16" ht="24.75" customHeight="1" x14ac:dyDescent="0.3">
      <c r="A18" s="385" t="s">
        <v>62</v>
      </c>
      <c r="B18" s="385"/>
      <c r="C18" s="117">
        <v>201878.44</v>
      </c>
      <c r="D18" s="117">
        <f>63473.69+46155.25+6265.82</f>
        <v>115894.76000000001</v>
      </c>
      <c r="E18" s="117">
        <v>133888.98000000001</v>
      </c>
      <c r="F18" s="133">
        <f t="shared" si="4"/>
        <v>249783.74000000002</v>
      </c>
      <c r="G18" s="130">
        <f t="shared" si="3"/>
        <v>47905.300000000017</v>
      </c>
      <c r="H18" s="131">
        <f t="shared" si="0"/>
        <v>23.729775205316635</v>
      </c>
      <c r="I18" s="131">
        <f t="shared" si="1"/>
        <v>2.1646467026590384</v>
      </c>
      <c r="J18" s="181" t="b">
        <f>C18='[3]Anexo 1. Fontes e Aplicações'!$D$18</f>
        <v>1</v>
      </c>
      <c r="L18" s="255">
        <f>'Diretrizes - Resumo'!AK13</f>
        <v>249783.74</v>
      </c>
      <c r="M18" s="257" t="b">
        <f t="shared" si="2"/>
        <v>1</v>
      </c>
      <c r="N18" s="253"/>
      <c r="O18" s="257"/>
    </row>
    <row r="19" spans="1:16" ht="24.75" customHeight="1" x14ac:dyDescent="0.3">
      <c r="A19" s="385" t="s">
        <v>13</v>
      </c>
      <c r="B19" s="385"/>
      <c r="C19" s="117">
        <v>1000000</v>
      </c>
      <c r="D19" s="117">
        <v>564128.54</v>
      </c>
      <c r="E19" s="117">
        <f>435871.46-L37</f>
        <v>435871.45657538349</v>
      </c>
      <c r="F19" s="133">
        <f>SUM(D19:E19)</f>
        <v>999999.99657538347</v>
      </c>
      <c r="G19" s="130">
        <f t="shared" si="3"/>
        <v>-3.4246165305376053E-3</v>
      </c>
      <c r="H19" s="131">
        <f t="shared" si="0"/>
        <v>-3.4246165305376052E-7</v>
      </c>
      <c r="I19" s="131">
        <f t="shared" si="1"/>
        <v>8.6660832896727111</v>
      </c>
      <c r="J19" s="181" t="b">
        <f>C19='[3]Anexo 1. Fontes e Aplicações'!$D$19</f>
        <v>1</v>
      </c>
      <c r="L19" s="254"/>
      <c r="N19" s="253">
        <f>[8]Sheet!$H$134</f>
        <v>564128.54</v>
      </c>
      <c r="O19" s="257" t="b">
        <f>N19=D19</f>
        <v>1</v>
      </c>
    </row>
    <row r="20" spans="1:16" ht="24.75" customHeight="1" x14ac:dyDescent="0.3">
      <c r="A20" s="385" t="s">
        <v>157</v>
      </c>
      <c r="B20" s="385"/>
      <c r="C20" s="117">
        <v>15115.2590103607</v>
      </c>
      <c r="D20" s="117">
        <v>10077.049999999999</v>
      </c>
      <c r="E20" s="117">
        <f>5457.16+1215.87</f>
        <v>6673.03</v>
      </c>
      <c r="F20" s="133">
        <f t="shared" si="4"/>
        <v>16750.079999999998</v>
      </c>
      <c r="G20" s="130">
        <f t="shared" si="3"/>
        <v>1634.8209896392982</v>
      </c>
      <c r="H20" s="131">
        <f t="shared" si="0"/>
        <v>10.815699476394789</v>
      </c>
      <c r="I20" s="131">
        <f t="shared" si="1"/>
        <v>0.14515758888579017</v>
      </c>
      <c r="J20" s="181" t="b">
        <f>C20='[3]Anexo 1. Fontes e Aplicações'!$D$20</f>
        <v>1</v>
      </c>
      <c r="L20" s="254">
        <f>'Diretrizes - Resumo'!AK15+'Diretrizes - Resumo'!AN8</f>
        <v>16750.079999999998</v>
      </c>
      <c r="M20" s="257" t="b">
        <f>L20=F20</f>
        <v>1</v>
      </c>
      <c r="N20" s="253"/>
      <c r="O20" s="257"/>
    </row>
    <row r="21" spans="1:16" ht="24.75" customHeight="1" x14ac:dyDescent="0.3">
      <c r="A21" s="385" t="s">
        <v>14</v>
      </c>
      <c r="B21" s="385"/>
      <c r="C21" s="117"/>
      <c r="D21" s="117"/>
      <c r="E21" s="117"/>
      <c r="F21" s="133">
        <f t="shared" si="4"/>
        <v>0</v>
      </c>
      <c r="G21" s="130">
        <f t="shared" si="3"/>
        <v>0</v>
      </c>
      <c r="H21" s="131">
        <f t="shared" si="0"/>
        <v>0</v>
      </c>
      <c r="I21" s="131">
        <f t="shared" si="1"/>
        <v>0</v>
      </c>
      <c r="J21" s="181" t="b">
        <f>C21='[3]Anexo 1. Fontes e Aplicações'!$D$21</f>
        <v>1</v>
      </c>
      <c r="N21" s="253"/>
      <c r="O21" s="257"/>
    </row>
    <row r="22" spans="1:16" ht="24.75" customHeight="1" x14ac:dyDescent="0.3">
      <c r="A22" s="386" t="s">
        <v>15</v>
      </c>
      <c r="B22" s="386"/>
      <c r="C22" s="130">
        <f>SUM(C23:C24)</f>
        <v>5590000</v>
      </c>
      <c r="D22" s="130">
        <f>SUM(D23:D24)</f>
        <v>0</v>
      </c>
      <c r="E22" s="130">
        <f>SUM(E23:E24)</f>
        <v>5440000</v>
      </c>
      <c r="F22" s="130">
        <f>SUM(F23:F24)</f>
        <v>5440000</v>
      </c>
      <c r="G22" s="130">
        <f t="shared" si="3"/>
        <v>-150000</v>
      </c>
      <c r="H22" s="131">
        <f t="shared" si="0"/>
        <v>-2.6833631484794274</v>
      </c>
      <c r="I22" s="131">
        <f t="shared" si="1"/>
        <v>47.143493257267934</v>
      </c>
      <c r="J22" s="181" t="b">
        <f>C22='[3]Anexo 1. Fontes e Aplicações'!$D$22</f>
        <v>1</v>
      </c>
      <c r="L22" s="256">
        <f>'Diretrizes - Resumo'!AN9</f>
        <v>10977447.08</v>
      </c>
      <c r="M22" s="173">
        <f>L22-F22</f>
        <v>5537447.0800000001</v>
      </c>
      <c r="N22" s="253"/>
      <c r="O22" s="257"/>
    </row>
    <row r="23" spans="1:16" ht="24.75" customHeight="1" x14ac:dyDescent="0.3">
      <c r="A23" s="385" t="s">
        <v>16</v>
      </c>
      <c r="B23" s="385"/>
      <c r="C23" s="117">
        <v>5590000</v>
      </c>
      <c r="D23" s="117">
        <v>0</v>
      </c>
      <c r="E23" s="117">
        <v>5440000</v>
      </c>
      <c r="F23" s="133">
        <f t="shared" si="4"/>
        <v>5440000</v>
      </c>
      <c r="G23" s="130">
        <f t="shared" si="3"/>
        <v>-150000</v>
      </c>
      <c r="H23" s="131">
        <f t="shared" si="0"/>
        <v>-2.6833631484794274</v>
      </c>
      <c r="I23" s="131">
        <f t="shared" si="1"/>
        <v>47.143493257267934</v>
      </c>
      <c r="J23" s="181" t="b">
        <f>C23='[3]Anexo 1. Fontes e Aplicações'!$D$23</f>
        <v>1</v>
      </c>
      <c r="N23" s="253">
        <f>[7]Sheet!$H$165</f>
        <v>0</v>
      </c>
      <c r="O23" s="257" t="b">
        <f>N23=D23</f>
        <v>1</v>
      </c>
    </row>
    <row r="24" spans="1:16" ht="24.75" customHeight="1" x14ac:dyDescent="0.3">
      <c r="A24" s="385" t="s">
        <v>156</v>
      </c>
      <c r="B24" s="385"/>
      <c r="C24" s="117"/>
      <c r="D24" s="117"/>
      <c r="E24" s="117"/>
      <c r="F24" s="133">
        <f t="shared" si="4"/>
        <v>0</v>
      </c>
      <c r="G24" s="130">
        <f t="shared" si="3"/>
        <v>0</v>
      </c>
      <c r="H24" s="131">
        <f t="shared" si="0"/>
        <v>0</v>
      </c>
      <c r="I24" s="131">
        <f t="shared" si="1"/>
        <v>0</v>
      </c>
      <c r="J24" s="181" t="b">
        <f>C24='[3]Anexo 1. Fontes e Aplicações'!$D$24</f>
        <v>1</v>
      </c>
      <c r="N24" s="253"/>
      <c r="O24" s="257"/>
    </row>
    <row r="25" spans="1:16" ht="24.75" customHeight="1" x14ac:dyDescent="0.3">
      <c r="A25" s="386" t="s">
        <v>17</v>
      </c>
      <c r="B25" s="386"/>
      <c r="C25" s="130">
        <f>SUM(C8,C22)</f>
        <v>11313862.569010362</v>
      </c>
      <c r="D25" s="130">
        <f>SUM(D8,D22)</f>
        <v>3217361.1099999994</v>
      </c>
      <c r="E25" s="130">
        <f>SUM(E8,E22)</f>
        <v>8321877.1265753824</v>
      </c>
      <c r="F25" s="130">
        <f>SUM(F8,F22)</f>
        <v>11539238.236575384</v>
      </c>
      <c r="G25" s="130">
        <f t="shared" si="3"/>
        <v>225375.66756502166</v>
      </c>
      <c r="H25" s="131">
        <f t="shared" si="0"/>
        <v>1.9920311581505763</v>
      </c>
      <c r="I25" s="131">
        <f t="shared" si="1"/>
        <v>100</v>
      </c>
      <c r="J25" s="181" t="b">
        <f>C25='[3]Anexo 1. Fontes e Aplicações'!$D$25</f>
        <v>1</v>
      </c>
      <c r="L25" s="254"/>
      <c r="N25" s="253">
        <f>[7]Sheet!$G$200</f>
        <v>3217361.11</v>
      </c>
      <c r="O25" s="257" t="b">
        <f>N25=D25</f>
        <v>1</v>
      </c>
    </row>
    <row r="26" spans="1:16" ht="24.75" customHeight="1" x14ac:dyDescent="0.3">
      <c r="A26" s="379" t="s">
        <v>7</v>
      </c>
      <c r="B26" s="380"/>
      <c r="C26" s="387" t="s">
        <v>284</v>
      </c>
      <c r="D26" s="394" t="s">
        <v>276</v>
      </c>
      <c r="E26" s="395"/>
      <c r="F26" s="396"/>
      <c r="G26" s="397" t="s">
        <v>24</v>
      </c>
      <c r="H26" s="398"/>
      <c r="I26" s="391" t="s">
        <v>166</v>
      </c>
      <c r="J26" s="181"/>
      <c r="O26" s="257"/>
    </row>
    <row r="27" spans="1:16" ht="24.75" customHeight="1" x14ac:dyDescent="0.3">
      <c r="A27" s="381"/>
      <c r="B27" s="382"/>
      <c r="C27" s="388"/>
      <c r="D27" s="399" t="s">
        <v>496</v>
      </c>
      <c r="E27" s="399" t="s">
        <v>497</v>
      </c>
      <c r="F27" s="387" t="s">
        <v>350</v>
      </c>
      <c r="G27" s="391" t="s">
        <v>167</v>
      </c>
      <c r="H27" s="391" t="s">
        <v>168</v>
      </c>
      <c r="I27" s="405"/>
      <c r="J27" s="181"/>
    </row>
    <row r="28" spans="1:16" ht="23.25" customHeight="1" x14ac:dyDescent="0.3">
      <c r="A28" s="351" t="s">
        <v>353</v>
      </c>
      <c r="B28" s="351"/>
      <c r="C28" s="389"/>
      <c r="D28" s="400"/>
      <c r="E28" s="400"/>
      <c r="F28" s="389"/>
      <c r="G28" s="392"/>
      <c r="H28" s="392"/>
      <c r="I28" s="392"/>
      <c r="J28" s="181"/>
    </row>
    <row r="29" spans="1:16" ht="24.75" customHeight="1" x14ac:dyDescent="0.3">
      <c r="A29" s="393" t="s">
        <v>18</v>
      </c>
      <c r="B29" s="393"/>
      <c r="C29" s="130">
        <f>SUM(C30:C32)</f>
        <v>10801934.912013959</v>
      </c>
      <c r="D29" s="130">
        <f>SUM(D30:D32)</f>
        <v>1174589.1800000004</v>
      </c>
      <c r="E29" s="130">
        <f>SUM(E30:E32)</f>
        <v>9876069.0300000012</v>
      </c>
      <c r="F29" s="130">
        <f>SUM(F30:F32)</f>
        <v>11050658.210000001</v>
      </c>
      <c r="G29" s="130">
        <f>F29-C29</f>
        <v>248723.29798604175</v>
      </c>
      <c r="H29" s="131">
        <f>IFERROR(G29/C29*100,)</f>
        <v>2.3025809728719122</v>
      </c>
      <c r="I29" s="131">
        <f t="shared" ref="I29:I36" si="5">IFERROR(F29/$F$36*100,0)</f>
        <v>95.765924781527147</v>
      </c>
      <c r="J29" s="181" t="b">
        <f>C29='[3]Anexo 1. Fontes e Aplicações'!$D$27</f>
        <v>1</v>
      </c>
      <c r="L29" s="254">
        <f>L30+L32+L33+L34+L35</f>
        <v>11539238.236575384</v>
      </c>
      <c r="M29" s="257" t="b">
        <f>L29=F36</f>
        <v>1</v>
      </c>
    </row>
    <row r="30" spans="1:16" ht="24.75" customHeight="1" x14ac:dyDescent="0.3">
      <c r="A30" s="385" t="s">
        <v>19</v>
      </c>
      <c r="B30" s="385"/>
      <c r="C30" s="134">
        <f>SUMIF('Quadro Geral'!B8:B42,"p",'Quadro Geral'!I8:I42)+SUMIF('Quadro Geral'!B8:B42,"p.",'Quadro Geral'!I8:I42)</f>
        <v>6138400</v>
      </c>
      <c r="D30" s="134">
        <f>SUMIF('Quadro Geral'!B8:B42,"p",'Quadro Geral'!J8:J42)</f>
        <v>0</v>
      </c>
      <c r="E30" s="134">
        <f>SUMIF('Quadro Geral'!B8:B42,"p",'Quadro Geral'!K8:K42)</f>
        <v>5978400</v>
      </c>
      <c r="F30" s="134">
        <f>D30+E30</f>
        <v>5978400</v>
      </c>
      <c r="G30" s="130">
        <f t="shared" si="3"/>
        <v>-160000</v>
      </c>
      <c r="H30" s="131">
        <f t="shared" si="0"/>
        <v>-2.6065424214779096</v>
      </c>
      <c r="I30" s="131">
        <f t="shared" si="5"/>
        <v>51.809312516406372</v>
      </c>
      <c r="J30" s="181" t="b">
        <f>C30='[3]Anexo 1. Fontes e Aplicações'!$D$28</f>
        <v>1</v>
      </c>
      <c r="L30" s="256">
        <f>SUMIF('Quadro Geral'!B8:B42,"P",'Quadro Geral'!L8:L42)</f>
        <v>5978400</v>
      </c>
      <c r="M30" s="257" t="b">
        <f t="shared" ref="M30:M35" si="6">L30=F30</f>
        <v>1</v>
      </c>
    </row>
    <row r="31" spans="1:16" ht="24.75" customHeight="1" x14ac:dyDescent="0.3">
      <c r="A31" s="401" t="s">
        <v>176</v>
      </c>
      <c r="B31" s="402"/>
      <c r="C31" s="134">
        <f>SUMIF('Quadro Geral'!B8:B42,"pe",'Quadro Geral'!I8:I42)+SUMIF('Quadro Geral'!B8:B42,"pe.",'Quadro Geral'!I8:I42)</f>
        <v>0</v>
      </c>
      <c r="D31" s="134">
        <f>SUMIF('Quadro Geral'!B8:B42,"pe",'Quadro Geral'!J8:J42)</f>
        <v>0</v>
      </c>
      <c r="E31" s="134">
        <f>SUMIF('Quadro Geral'!B8:B42,"pe",'Quadro Geral'!K8:K42)</f>
        <v>0</v>
      </c>
      <c r="F31" s="134">
        <f>D31+E31</f>
        <v>0</v>
      </c>
      <c r="G31" s="130">
        <f t="shared" si="3"/>
        <v>0</v>
      </c>
      <c r="H31" s="131">
        <f>IFERROR(G31/C31*100,)</f>
        <v>0</v>
      </c>
      <c r="I31" s="131">
        <f t="shared" si="5"/>
        <v>0</v>
      </c>
      <c r="J31" s="181" t="b">
        <f>C31='[3]Anexo 1. Fontes e Aplicações'!$D$29</f>
        <v>1</v>
      </c>
      <c r="L31" s="250">
        <f>SUMIF('Quadro Geral'!B8:B42,"PE",'Quadro Geral'!L8:L42)</f>
        <v>0</v>
      </c>
      <c r="M31" s="257" t="b">
        <f t="shared" si="6"/>
        <v>1</v>
      </c>
    </row>
    <row r="32" spans="1:16" ht="24.75" customHeight="1" x14ac:dyDescent="0.3">
      <c r="A32" s="385" t="s">
        <v>68</v>
      </c>
      <c r="B32" s="385"/>
      <c r="C32" s="134">
        <f>SUMIF('Quadro Geral'!B8:B42,"a",'Quadro Geral'!I8:I42)+SUMIF('Quadro Geral'!B8:B42,"a.",'Quadro Geral'!I8:I42)-C33-C34-C35</f>
        <v>4663534.9120139582</v>
      </c>
      <c r="D32" s="134">
        <f>SUMIF('Quadro Geral'!B8:B42,"a",'Quadro Geral'!J8:J42)-D33-D34-D35</f>
        <v>1174589.1800000004</v>
      </c>
      <c r="E32" s="134">
        <f>SUMIF('Quadro Geral'!B8:B42,"a",'Quadro Geral'!K8:K42)-E33-E34-E35</f>
        <v>3897669.0300000003</v>
      </c>
      <c r="F32" s="134">
        <f>D32+E32</f>
        <v>5072258.2100000009</v>
      </c>
      <c r="G32" s="130">
        <f>F32-C32</f>
        <v>408723.29798604269</v>
      </c>
      <c r="H32" s="131">
        <f t="shared" si="0"/>
        <v>8.7642379803592938</v>
      </c>
      <c r="I32" s="131">
        <f>IFERROR(F32/$F$36*100,0)</f>
        <v>43.956612265120768</v>
      </c>
      <c r="J32" s="181" t="b">
        <f>C32='[3]Anexo 1. Fontes e Aplicações'!$D$30</f>
        <v>1</v>
      </c>
      <c r="L32" s="256">
        <f>SUMIF('Quadro Geral'!B8:B42,"A",'Quadro Geral'!L8:L42)-L33-L34-L35</f>
        <v>5072258.2100000009</v>
      </c>
      <c r="M32" s="257" t="b">
        <f t="shared" si="6"/>
        <v>1</v>
      </c>
      <c r="N32" s="173"/>
      <c r="O32" s="55"/>
      <c r="P32" s="55"/>
    </row>
    <row r="33" spans="1:14" ht="24.75" customHeight="1" x14ac:dyDescent="0.3">
      <c r="A33" s="385" t="s">
        <v>20</v>
      </c>
      <c r="B33" s="385"/>
      <c r="C33" s="117">
        <v>63933.47699640358</v>
      </c>
      <c r="D33" s="117">
        <v>26638.95</v>
      </c>
      <c r="E33" s="18">
        <v>37294.526996403598</v>
      </c>
      <c r="F33" s="133">
        <f>SUM(D33:E33)</f>
        <v>63933.476996403595</v>
      </c>
      <c r="G33" s="130">
        <f t="shared" si="3"/>
        <v>0</v>
      </c>
      <c r="H33" s="131">
        <f>IFERROR(G33/C33*100,)</f>
        <v>0</v>
      </c>
      <c r="I33" s="131">
        <f t="shared" si="5"/>
        <v>0.55405283854662646</v>
      </c>
      <c r="J33" s="181" t="b">
        <f>C33='[3]Anexo 1. Fontes e Aplicações'!$D$31</f>
        <v>1</v>
      </c>
      <c r="L33" s="256">
        <f>'Diretrizes - Resumo'!AN6</f>
        <v>63933.47699640358</v>
      </c>
      <c r="M33" s="257" t="b">
        <f t="shared" si="6"/>
        <v>1</v>
      </c>
    </row>
    <row r="34" spans="1:14" ht="24.75" customHeight="1" x14ac:dyDescent="0.3">
      <c r="A34" s="385" t="s">
        <v>67</v>
      </c>
      <c r="B34" s="385"/>
      <c r="C34" s="117">
        <v>406994.18</v>
      </c>
      <c r="D34" s="117">
        <f>'Quadro Geral'!J32+'Quadro Geral'!J33</f>
        <v>169580.9</v>
      </c>
      <c r="E34" s="117">
        <f>'Quadro Geral'!K32+'Quadro Geral'!K33</f>
        <v>214065.64957897874</v>
      </c>
      <c r="F34" s="133">
        <f>SUM(D34:E34)</f>
        <v>383646.54957897874</v>
      </c>
      <c r="G34" s="130">
        <f t="shared" si="3"/>
        <v>-23347.630421021255</v>
      </c>
      <c r="H34" s="131">
        <f t="shared" si="0"/>
        <v>-5.7366005629420194</v>
      </c>
      <c r="I34" s="131">
        <f t="shared" si="5"/>
        <v>3.3247129638328481</v>
      </c>
      <c r="J34" s="181" t="b">
        <f>C34='[3]Anexo 1. Fontes e Aplicações'!$D$32</f>
        <v>1</v>
      </c>
      <c r="L34" s="256">
        <f>'Diretrizes - Resumo'!AN3+'Diretrizes - Resumo'!AN4</f>
        <v>383646.54957897874</v>
      </c>
      <c r="M34" s="257" t="b">
        <f t="shared" si="6"/>
        <v>1</v>
      </c>
      <c r="N34" s="173"/>
    </row>
    <row r="35" spans="1:14" ht="24.75" customHeight="1" x14ac:dyDescent="0.3">
      <c r="A35" s="385" t="s">
        <v>25</v>
      </c>
      <c r="B35" s="385"/>
      <c r="C35" s="117">
        <v>41000</v>
      </c>
      <c r="D35" s="117">
        <v>0</v>
      </c>
      <c r="E35" s="117">
        <v>41000</v>
      </c>
      <c r="F35" s="133">
        <f>SUM(D35:E35)</f>
        <v>41000</v>
      </c>
      <c r="G35" s="130">
        <f t="shared" si="3"/>
        <v>0</v>
      </c>
      <c r="H35" s="131">
        <f t="shared" si="0"/>
        <v>0</v>
      </c>
      <c r="I35" s="131">
        <f t="shared" si="5"/>
        <v>0.35530941609337968</v>
      </c>
      <c r="J35" s="181" t="b">
        <f>C35='[3]Anexo 1. Fontes e Aplicações'!$D$33</f>
        <v>1</v>
      </c>
      <c r="L35" s="256">
        <f>'Quadro Geral'!L35</f>
        <v>41000</v>
      </c>
      <c r="M35" s="257" t="b">
        <f t="shared" si="6"/>
        <v>1</v>
      </c>
    </row>
    <row r="36" spans="1:14" ht="24.75" customHeight="1" x14ac:dyDescent="0.3">
      <c r="A36" s="386" t="s">
        <v>21</v>
      </c>
      <c r="B36" s="386"/>
      <c r="C36" s="130">
        <f>SUM(C29,C33:C35)</f>
        <v>11313862.569010362</v>
      </c>
      <c r="D36" s="130">
        <f>SUM(D29,D33:D35)</f>
        <v>1370809.0300000003</v>
      </c>
      <c r="E36" s="130">
        <f>SUM(E29,E33:E35)</f>
        <v>10168429.206575384</v>
      </c>
      <c r="F36" s="130">
        <f>SUM(F29,F33:F35)</f>
        <v>11539238.236575384</v>
      </c>
      <c r="G36" s="130">
        <f t="shared" si="3"/>
        <v>225375.66756502166</v>
      </c>
      <c r="H36" s="131">
        <f t="shared" si="0"/>
        <v>1.9920311581505763</v>
      </c>
      <c r="I36" s="131">
        <f t="shared" si="5"/>
        <v>100</v>
      </c>
      <c r="J36" s="181" t="b">
        <f>C36='[3]Anexo 1. Fontes e Aplicações'!$D$34</f>
        <v>1</v>
      </c>
    </row>
    <row r="37" spans="1:14" ht="24.75" customHeight="1" x14ac:dyDescent="0.3">
      <c r="A37" s="385" t="s">
        <v>22</v>
      </c>
      <c r="B37" s="385"/>
      <c r="C37" s="135">
        <f>C25-C36</f>
        <v>0</v>
      </c>
      <c r="D37" s="135">
        <f>D25-D36</f>
        <v>1846552.0799999991</v>
      </c>
      <c r="E37" s="135">
        <f>E25-E36</f>
        <v>-1846552.0800000019</v>
      </c>
      <c r="F37" s="289">
        <f>F25-F36</f>
        <v>0</v>
      </c>
      <c r="G37" s="289">
        <f>G25-G36</f>
        <v>0</v>
      </c>
      <c r="H37" s="5"/>
      <c r="I37" s="5"/>
      <c r="L37" s="290">
        <v>3.4246165305376053E-3</v>
      </c>
      <c r="M37" s="173"/>
    </row>
    <row r="38" spans="1:14" ht="24.75" customHeight="1" x14ac:dyDescent="0.3">
      <c r="A38" s="108"/>
      <c r="B38" s="108"/>
      <c r="C38" s="107" t="b">
        <f>C36='Quadro Geral'!I43</f>
        <v>1</v>
      </c>
      <c r="D38" s="107" t="b">
        <f>D36='Quadro Geral'!J43</f>
        <v>1</v>
      </c>
      <c r="E38" s="107" t="b">
        <f>E36='Quadro Geral'!K43</f>
        <v>1</v>
      </c>
      <c r="F38" s="107" t="b">
        <f>F36='Quadro Geral'!L43</f>
        <v>1</v>
      </c>
      <c r="G38" s="107" t="b">
        <f>G36='Quadro Geral'!N43</f>
        <v>1</v>
      </c>
      <c r="H38" s="108"/>
      <c r="I38" s="108"/>
    </row>
    <row r="39" spans="1:14" ht="24.75" customHeight="1" x14ac:dyDescent="0.3">
      <c r="A39" s="367" t="s">
        <v>352</v>
      </c>
      <c r="B39" s="367"/>
      <c r="C39" s="367"/>
      <c r="D39" s="367"/>
      <c r="E39" s="367"/>
      <c r="F39" s="367"/>
      <c r="G39" s="367"/>
      <c r="H39" s="287"/>
      <c r="L39" s="254"/>
      <c r="M39" s="173"/>
    </row>
    <row r="40" spans="1:14" ht="24.75" customHeight="1" x14ac:dyDescent="0.3">
      <c r="A40" s="373" t="s">
        <v>81</v>
      </c>
      <c r="B40" s="375" t="s">
        <v>84</v>
      </c>
      <c r="C40" s="376"/>
      <c r="D40" s="377"/>
      <c r="E40" s="375" t="s">
        <v>85</v>
      </c>
      <c r="F40" s="376"/>
      <c r="G40" s="377"/>
      <c r="I40" s="173"/>
      <c r="M40" s="173"/>
    </row>
    <row r="41" spans="1:14" ht="53.25" customHeight="1" x14ac:dyDescent="0.3">
      <c r="A41" s="374"/>
      <c r="B41" s="71" t="s">
        <v>285</v>
      </c>
      <c r="C41" s="71" t="s">
        <v>286</v>
      </c>
      <c r="D41" s="71" t="s">
        <v>86</v>
      </c>
      <c r="E41" s="71" t="s">
        <v>287</v>
      </c>
      <c r="F41" s="71" t="s">
        <v>288</v>
      </c>
      <c r="G41" s="71" t="s">
        <v>180</v>
      </c>
    </row>
    <row r="42" spans="1:14" ht="24.75" customHeight="1" x14ac:dyDescent="0.3">
      <c r="A42" s="4" t="s">
        <v>82</v>
      </c>
      <c r="B42" s="118">
        <f>C8</f>
        <v>5723862.5690103611</v>
      </c>
      <c r="C42" s="118">
        <f>F8</f>
        <v>6099238.2365753837</v>
      </c>
      <c r="D42" s="6">
        <f>(IFERROR(C42/B42*100-100,0))</f>
        <v>6.5580831656816656</v>
      </c>
      <c r="E42" s="286">
        <v>5723862.5690103611</v>
      </c>
      <c r="F42" s="118">
        <f>'Anexo 3. Elemento de Despesas'!O42</f>
        <v>6099238.2365753828</v>
      </c>
      <c r="G42" s="6">
        <f>(IFERROR(F42/E42*100-100,0))</f>
        <v>6.5580831656816514</v>
      </c>
      <c r="J42" s="101" t="b">
        <f>B42='[3]Anexo 1. Fontes e Aplicações'!$C$40</f>
        <v>1</v>
      </c>
      <c r="K42" s="181" t="b">
        <f>E42='[3]Anexo 1. Fontes e Aplicações'!$F$40</f>
        <v>1</v>
      </c>
    </row>
    <row r="43" spans="1:14" ht="24.75" customHeight="1" x14ac:dyDescent="0.3">
      <c r="A43" s="4" t="s">
        <v>83</v>
      </c>
      <c r="B43" s="118">
        <f>C22</f>
        <v>5590000</v>
      </c>
      <c r="C43" s="118">
        <f>F22</f>
        <v>5440000</v>
      </c>
      <c r="D43" s="6">
        <f>(IFERROR(C43/B43*100-100,0))</f>
        <v>-2.6833631484794296</v>
      </c>
      <c r="E43" s="164">
        <v>5590000</v>
      </c>
      <c r="F43" s="118">
        <f>'Anexo 3. Elemento de Despesas'!P42</f>
        <v>5440000</v>
      </c>
      <c r="G43" s="6">
        <f>(IFERROR(F43/E43*100-100,0))</f>
        <v>-2.6833631484794296</v>
      </c>
      <c r="J43" s="101" t="b">
        <f>B43='[3]Anexo 1. Fontes e Aplicações'!$C$41</f>
        <v>1</v>
      </c>
      <c r="K43" s="181" t="b">
        <f>E43='[3]Anexo 1. Fontes e Aplicações'!$F$41</f>
        <v>1</v>
      </c>
    </row>
    <row r="44" spans="1:14" ht="24.75" customHeight="1" x14ac:dyDescent="0.3">
      <c r="A44" s="72" t="s">
        <v>0</v>
      </c>
      <c r="B44" s="119">
        <f>SUM(B42:B43)</f>
        <v>11313862.569010362</v>
      </c>
      <c r="C44" s="119">
        <f>SUM(C42:C43)</f>
        <v>11539238.236575384</v>
      </c>
      <c r="D44" s="73">
        <f>(IFERROR(C44/B44*100-100,0))</f>
        <v>1.9920311581505814</v>
      </c>
      <c r="E44" s="119">
        <f>SUM(E42:E43)</f>
        <v>11313862.569010362</v>
      </c>
      <c r="F44" s="119">
        <f>SUM(F42:F43)</f>
        <v>11539238.236575384</v>
      </c>
      <c r="G44" s="73">
        <f>(IFERROR(F44/E44*100-100,0))</f>
        <v>1.9920311581505814</v>
      </c>
    </row>
    <row r="45" spans="1:14" ht="24.75" customHeight="1" x14ac:dyDescent="0.3">
      <c r="A45" s="378" t="s">
        <v>351</v>
      </c>
      <c r="B45" s="378"/>
      <c r="C45" s="378"/>
      <c r="D45" s="378"/>
      <c r="E45" s="378"/>
      <c r="F45" s="378"/>
      <c r="G45" s="378"/>
    </row>
    <row r="46" spans="1:14" s="98" customFormat="1" ht="24.75" customHeight="1" x14ac:dyDescent="0.3">
      <c r="A46" s="184"/>
      <c r="B46" s="257" t="b">
        <f>B44=C25</f>
        <v>1</v>
      </c>
      <c r="C46" s="257" t="b">
        <f>C44=F25</f>
        <v>1</v>
      </c>
      <c r="D46" s="257"/>
      <c r="E46" s="257" t="b">
        <f>E44=C36</f>
        <v>1</v>
      </c>
      <c r="F46" s="257" t="b">
        <f>F44=F36</f>
        <v>1</v>
      </c>
      <c r="G46" s="274"/>
      <c r="L46" s="275"/>
    </row>
    <row r="47" spans="1:14" ht="24.75" customHeight="1" x14ac:dyDescent="0.3">
      <c r="A47" s="74" t="s">
        <v>7</v>
      </c>
      <c r="B47" s="74" t="s">
        <v>124</v>
      </c>
      <c r="C47" s="74" t="s">
        <v>125</v>
      </c>
      <c r="D47" s="74" t="s">
        <v>0</v>
      </c>
    </row>
    <row r="48" spans="1:14" ht="24.75" customHeight="1" x14ac:dyDescent="0.3">
      <c r="A48" s="75" t="s">
        <v>126</v>
      </c>
      <c r="B48" s="276">
        <f>F8</f>
        <v>6099238.2365753837</v>
      </c>
      <c r="C48" s="120">
        <f>F22</f>
        <v>5440000</v>
      </c>
      <c r="D48" s="120">
        <f>SUM(B48:C48)</f>
        <v>11539238.236575384</v>
      </c>
    </row>
    <row r="49" spans="1:13" ht="24.75" customHeight="1" x14ac:dyDescent="0.3">
      <c r="A49" s="75" t="s">
        <v>127</v>
      </c>
      <c r="B49" s="276">
        <f>'Anexo 3. Elemento de Despesas'!O42</f>
        <v>6099238.2365753828</v>
      </c>
      <c r="C49" s="120">
        <f>'Anexo 3. Elemento de Despesas'!P42</f>
        <v>5440000</v>
      </c>
      <c r="D49" s="120">
        <f>SUM(B49:C49)</f>
        <v>11539238.236575384</v>
      </c>
    </row>
    <row r="50" spans="1:13" ht="24.75" customHeight="1" x14ac:dyDescent="0.3">
      <c r="A50" s="116" t="s">
        <v>22</v>
      </c>
      <c r="B50" s="124">
        <f>B48-B49</f>
        <v>0</v>
      </c>
      <c r="C50" s="124">
        <f>C48-C49</f>
        <v>0</v>
      </c>
      <c r="D50" s="125">
        <f>SUM(B50:C50)</f>
        <v>0</v>
      </c>
    </row>
    <row r="51" spans="1:13" ht="24.75" customHeight="1" x14ac:dyDescent="0.3">
      <c r="B51" s="257" t="b">
        <f>B48=B49</f>
        <v>1</v>
      </c>
      <c r="C51" s="257" t="b">
        <f>C49=C48</f>
        <v>1</v>
      </c>
      <c r="D51" s="257" t="b">
        <f>D49=D48</f>
        <v>1</v>
      </c>
    </row>
    <row r="52" spans="1:13" ht="24.75" customHeight="1" x14ac:dyDescent="0.3">
      <c r="A52" s="74" t="s">
        <v>250</v>
      </c>
      <c r="B52" s="74" t="s">
        <v>57</v>
      </c>
      <c r="C52" s="7"/>
      <c r="D52" s="259"/>
      <c r="E52" s="259"/>
    </row>
    <row r="53" spans="1:13" ht="24.75" customHeight="1" x14ac:dyDescent="0.3">
      <c r="A53" s="74" t="s">
        <v>360</v>
      </c>
      <c r="B53" s="281">
        <v>10977447.08</v>
      </c>
      <c r="C53" s="7"/>
      <c r="D53" s="259"/>
      <c r="E53" s="259"/>
      <c r="L53" s="258">
        <f>'Diretrizes - Resumo'!AN9</f>
        <v>10977447.08</v>
      </c>
      <c r="M53" s="257" t="b">
        <f>L53=B53</f>
        <v>1</v>
      </c>
    </row>
    <row r="54" spans="1:13" ht="24.75" customHeight="1" x14ac:dyDescent="0.3">
      <c r="A54" s="74" t="s">
        <v>271</v>
      </c>
      <c r="B54" s="121">
        <f>'Anexo 3. Elemento de Despesas'!P42</f>
        <v>5440000</v>
      </c>
      <c r="C54" s="7"/>
      <c r="D54" s="259"/>
      <c r="E54" s="259"/>
      <c r="M54" s="257" t="b">
        <f>B54=F22</f>
        <v>1</v>
      </c>
    </row>
    <row r="55" spans="1:13" ht="24.75" customHeight="1" x14ac:dyDescent="0.3">
      <c r="A55" s="74" t="s">
        <v>270</v>
      </c>
      <c r="B55" s="122">
        <f>IFERROR(B54/B53,)</f>
        <v>0.49556148714314729</v>
      </c>
      <c r="C55" s="7"/>
      <c r="D55" s="259"/>
      <c r="E55" s="259"/>
    </row>
    <row r="56" spans="1:13" ht="24.75" customHeight="1" x14ac:dyDescent="0.3">
      <c r="A56" s="74" t="s">
        <v>272</v>
      </c>
      <c r="B56" s="121">
        <f>F31</f>
        <v>0</v>
      </c>
      <c r="C56" s="7"/>
      <c r="D56" s="259"/>
      <c r="E56" s="259"/>
    </row>
    <row r="57" spans="1:13" ht="24.75" customHeight="1" x14ac:dyDescent="0.3">
      <c r="A57" s="74" t="s">
        <v>296</v>
      </c>
      <c r="B57" s="122">
        <f>IFERROR(B56/B53,)</f>
        <v>0</v>
      </c>
      <c r="C57" s="7"/>
      <c r="D57" s="259"/>
      <c r="E57" s="259"/>
      <c r="F57" s="173"/>
    </row>
    <row r="58" spans="1:13" ht="24.75" customHeight="1" x14ac:dyDescent="0.3">
      <c r="A58" s="74" t="s">
        <v>273</v>
      </c>
      <c r="B58" s="121"/>
      <c r="C58" s="7"/>
      <c r="D58" s="259"/>
      <c r="E58" s="259"/>
    </row>
    <row r="59" spans="1:13" ht="24.75" customHeight="1" x14ac:dyDescent="0.3">
      <c r="A59" s="74" t="s">
        <v>297</v>
      </c>
      <c r="B59" s="123">
        <f>B55+B57</f>
        <v>0.49556148714314729</v>
      </c>
      <c r="C59" s="7"/>
      <c r="D59" s="259"/>
      <c r="E59" s="259"/>
      <c r="M59" s="257"/>
    </row>
    <row r="60" spans="1:13" ht="24.75" customHeight="1" x14ac:dyDescent="0.3">
      <c r="A60" s="74" t="s">
        <v>177</v>
      </c>
      <c r="B60" s="121">
        <f>B53-B54-B56</f>
        <v>5537447.0800000001</v>
      </c>
      <c r="C60" s="7"/>
      <c r="D60" s="259"/>
      <c r="E60" s="259"/>
      <c r="M60" s="257" t="b">
        <f>B60=M22</f>
        <v>1</v>
      </c>
    </row>
    <row r="61" spans="1:13" ht="36.75" customHeight="1" x14ac:dyDescent="0.3">
      <c r="A61" s="371" t="s">
        <v>251</v>
      </c>
      <c r="B61" s="372"/>
      <c r="C61" s="372"/>
      <c r="D61" s="372"/>
      <c r="E61" s="372"/>
      <c r="F61" s="372"/>
      <c r="G61" s="372"/>
    </row>
    <row r="62" spans="1:13" ht="24.75" customHeight="1" x14ac:dyDescent="0.3">
      <c r="A62" s="360" t="s">
        <v>249</v>
      </c>
      <c r="B62" s="361"/>
      <c r="C62" s="361"/>
      <c r="D62" s="361"/>
      <c r="E62" s="361"/>
      <c r="F62" s="361"/>
      <c r="G62" s="362"/>
    </row>
    <row r="63" spans="1:13" ht="99" customHeight="1" x14ac:dyDescent="0.3">
      <c r="A63" s="368"/>
      <c r="B63" s="369"/>
      <c r="C63" s="369"/>
      <c r="D63" s="369"/>
      <c r="E63" s="369"/>
      <c r="F63" s="369"/>
      <c r="G63" s="370"/>
    </row>
  </sheetData>
  <mergeCells count="68">
    <mergeCell ref="A4:F4"/>
    <mergeCell ref="I5:I7"/>
    <mergeCell ref="I26:I28"/>
    <mergeCell ref="D27:D28"/>
    <mergeCell ref="E27:E28"/>
    <mergeCell ref="F27:F28"/>
    <mergeCell ref="G27:G28"/>
    <mergeCell ref="H27:H28"/>
    <mergeCell ref="D26:F26"/>
    <mergeCell ref="A14:B14"/>
    <mergeCell ref="C26:C28"/>
    <mergeCell ref="A16:B16"/>
    <mergeCell ref="A17:B17"/>
    <mergeCell ref="A28:B28"/>
    <mergeCell ref="A11:B11"/>
    <mergeCell ref="A34:B34"/>
    <mergeCell ref="A23:B23"/>
    <mergeCell ref="E40:G40"/>
    <mergeCell ref="A29:B29"/>
    <mergeCell ref="A31:B31"/>
    <mergeCell ref="G26:H26"/>
    <mergeCell ref="A12:B12"/>
    <mergeCell ref="A13:B13"/>
    <mergeCell ref="A37:B37"/>
    <mergeCell ref="A15:B15"/>
    <mergeCell ref="G6:G7"/>
    <mergeCell ref="F6:F7"/>
    <mergeCell ref="E6:E7"/>
    <mergeCell ref="D6:D7"/>
    <mergeCell ref="A10:B10"/>
    <mergeCell ref="H6:H7"/>
    <mergeCell ref="A1:I1"/>
    <mergeCell ref="A35:B35"/>
    <mergeCell ref="A36:B36"/>
    <mergeCell ref="A8:B8"/>
    <mergeCell ref="A9:B9"/>
    <mergeCell ref="A18:B18"/>
    <mergeCell ref="A19:B19"/>
    <mergeCell ref="A20:B20"/>
    <mergeCell ref="A21:B21"/>
    <mergeCell ref="A22:B22"/>
    <mergeCell ref="D5:F5"/>
    <mergeCell ref="A30:B30"/>
    <mergeCell ref="A32:B32"/>
    <mergeCell ref="A33:B33"/>
    <mergeCell ref="G5:H5"/>
    <mergeCell ref="T10:T11"/>
    <mergeCell ref="O10:O11"/>
    <mergeCell ref="P10:P11"/>
    <mergeCell ref="Q10:Q11"/>
    <mergeCell ref="R10:R11"/>
    <mergeCell ref="S10:S11"/>
    <mergeCell ref="M2:M8"/>
    <mergeCell ref="A39:G39"/>
    <mergeCell ref="A63:G63"/>
    <mergeCell ref="A61:G61"/>
    <mergeCell ref="A40:A41"/>
    <mergeCell ref="A62:G62"/>
    <mergeCell ref="B40:D40"/>
    <mergeCell ref="A45:G45"/>
    <mergeCell ref="A26:B27"/>
    <mergeCell ref="A2:I2"/>
    <mergeCell ref="A3:I3"/>
    <mergeCell ref="A5:B6"/>
    <mergeCell ref="A7:B7"/>
    <mergeCell ref="A24:B24"/>
    <mergeCell ref="A25:B25"/>
    <mergeCell ref="C5:C7"/>
  </mergeCells>
  <phoneticPr fontId="20" type="noConversion"/>
  <conditionalFormatting sqref="C38:F38">
    <cfRule type="cellIs" dxfId="62" priority="37" operator="equal">
      <formula>TRUE</formula>
    </cfRule>
    <cfRule type="cellIs" dxfId="61" priority="38" operator="equal">
      <formula>TRUE</formula>
    </cfRule>
  </conditionalFormatting>
  <conditionalFormatting sqref="M20">
    <cfRule type="containsText" dxfId="60" priority="35" operator="containsText" text="Falso">
      <formula>NOT(ISERROR(SEARCH("Falso",M20)))</formula>
    </cfRule>
    <cfRule type="cellIs" dxfId="59" priority="36" operator="equal">
      <formula>TRUE</formula>
    </cfRule>
  </conditionalFormatting>
  <conditionalFormatting sqref="M18">
    <cfRule type="containsText" dxfId="58" priority="33" operator="containsText" text="Falso">
      <formula>NOT(ISERROR(SEARCH("Falso",M18)))</formula>
    </cfRule>
    <cfRule type="cellIs" dxfId="57" priority="34" operator="equal">
      <formula>TRUE</formula>
    </cfRule>
  </conditionalFormatting>
  <conditionalFormatting sqref="M9:M13">
    <cfRule type="containsText" dxfId="56" priority="23" operator="containsText" text="Falso">
      <formula>NOT(ISERROR(SEARCH("Falso",M9)))</formula>
    </cfRule>
    <cfRule type="cellIs" dxfId="55" priority="24" operator="equal">
      <formula>TRUE</formula>
    </cfRule>
  </conditionalFormatting>
  <conditionalFormatting sqref="M16">
    <cfRule type="containsText" dxfId="54" priority="29" operator="containsText" text="Falso">
      <formula>NOT(ISERROR(SEARCH("Falso",M16)))</formula>
    </cfRule>
    <cfRule type="cellIs" dxfId="53" priority="30" operator="equal">
      <formula>TRUE</formula>
    </cfRule>
  </conditionalFormatting>
  <conditionalFormatting sqref="M15">
    <cfRule type="containsText" dxfId="52" priority="27" operator="containsText" text="Falso">
      <formula>NOT(ISERROR(SEARCH("Falso",M15)))</formula>
    </cfRule>
    <cfRule type="cellIs" dxfId="51" priority="28" operator="equal">
      <formula>TRUE</formula>
    </cfRule>
  </conditionalFormatting>
  <conditionalFormatting sqref="M14">
    <cfRule type="containsText" dxfId="50" priority="25" operator="containsText" text="Falso">
      <formula>NOT(ISERROR(SEARCH("Falso",M14)))</formula>
    </cfRule>
    <cfRule type="cellIs" dxfId="49" priority="26" operator="equal">
      <formula>TRUE</formula>
    </cfRule>
  </conditionalFormatting>
  <conditionalFormatting sqref="M17">
    <cfRule type="containsText" dxfId="48" priority="21" operator="containsText" text="Falso">
      <formula>NOT(ISERROR(SEARCH("Falso",M17)))</formula>
    </cfRule>
    <cfRule type="cellIs" dxfId="47" priority="22" operator="equal">
      <formula>TRUE</formula>
    </cfRule>
  </conditionalFormatting>
  <conditionalFormatting sqref="M53">
    <cfRule type="containsText" dxfId="46" priority="19" operator="containsText" text="Falso">
      <formula>NOT(ISERROR(SEARCH("Falso",M53)))</formula>
    </cfRule>
    <cfRule type="cellIs" dxfId="45" priority="20" operator="equal">
      <formula>TRUE</formula>
    </cfRule>
  </conditionalFormatting>
  <conditionalFormatting sqref="M54">
    <cfRule type="containsText" dxfId="44" priority="17" operator="containsText" text="Falso">
      <formula>NOT(ISERROR(SEARCH("Falso",M54)))</formula>
    </cfRule>
    <cfRule type="cellIs" dxfId="43" priority="18" operator="equal">
      <formula>TRUE</formula>
    </cfRule>
  </conditionalFormatting>
  <conditionalFormatting sqref="M59">
    <cfRule type="containsText" dxfId="42" priority="15" operator="containsText" text="Falso">
      <formula>NOT(ISERROR(SEARCH("Falso",M59)))</formula>
    </cfRule>
    <cfRule type="cellIs" dxfId="41" priority="16" operator="equal">
      <formula>TRUE</formula>
    </cfRule>
  </conditionalFormatting>
  <conditionalFormatting sqref="M30:M35">
    <cfRule type="containsText" dxfId="40" priority="11" operator="containsText" text="Falso">
      <formula>NOT(ISERROR(SEARCH("Falso",M30)))</formula>
    </cfRule>
    <cfRule type="cellIs" dxfId="39" priority="12" operator="equal">
      <formula>TRUE</formula>
    </cfRule>
  </conditionalFormatting>
  <conditionalFormatting sqref="M29">
    <cfRule type="containsText" dxfId="38" priority="13" operator="containsText" text="Falso">
      <formula>NOT(ISERROR(SEARCH("Falso",M29)))</formula>
    </cfRule>
    <cfRule type="cellIs" dxfId="37" priority="14" operator="equal">
      <formula>TRUE</formula>
    </cfRule>
  </conditionalFormatting>
  <conditionalFormatting sqref="B51:D51">
    <cfRule type="containsText" dxfId="36" priority="5" operator="containsText" text="Falso">
      <formula>NOT(ISERROR(SEARCH("Falso",B51)))</formula>
    </cfRule>
    <cfRule type="cellIs" dxfId="35" priority="6" operator="equal">
      <formula>TRUE</formula>
    </cfRule>
  </conditionalFormatting>
  <conditionalFormatting sqref="M60">
    <cfRule type="containsText" dxfId="34" priority="9" operator="containsText" text="Falso">
      <formula>NOT(ISERROR(SEARCH("Falso",M60)))</formula>
    </cfRule>
    <cfRule type="cellIs" dxfId="33" priority="10" operator="equal">
      <formula>TRUE</formula>
    </cfRule>
  </conditionalFormatting>
  <conditionalFormatting sqref="B46:F46">
    <cfRule type="containsText" dxfId="32" priority="7" operator="containsText" text="Falso">
      <formula>NOT(ISERROR(SEARCH("Falso",B46)))</formula>
    </cfRule>
    <cfRule type="cellIs" dxfId="31" priority="8" operator="equal">
      <formula>TRUE</formula>
    </cfRule>
  </conditionalFormatting>
  <conditionalFormatting sqref="O12:O26">
    <cfRule type="containsText" dxfId="30" priority="3" operator="containsText" text="Falso">
      <formula>NOT(ISERROR(SEARCH("Falso",O12)))</formula>
    </cfRule>
    <cfRule type="cellIs" dxfId="29" priority="4" operator="equal">
      <formula>TRUE</formula>
    </cfRule>
  </conditionalFormatting>
  <conditionalFormatting sqref="G38">
    <cfRule type="cellIs" dxfId="28" priority="1" operator="equal">
      <formula>TRUE</formula>
    </cfRule>
    <cfRule type="cellIs" dxfId="27" priority="2" operator="equal">
      <formula>TRUE</formula>
    </cfRule>
  </conditionalFormatting>
  <pageMargins left="0.23622047244094491" right="0.23622047244094491" top="0.74803149606299213" bottom="0.74803149606299213" header="0.31496062992125984" footer="0.31496062992125984"/>
  <pageSetup paperSize="9" scale="56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6">
    <tabColor rgb="FFFF6900"/>
  </sheetPr>
  <dimension ref="A1:AG35"/>
  <sheetViews>
    <sheetView topLeftCell="A6" zoomScale="60" zoomScaleNormal="60" workbookViewId="0">
      <selection activeCell="E21" sqref="E21"/>
    </sheetView>
  </sheetViews>
  <sheetFormatPr defaultColWidth="19.88671875" defaultRowHeight="15.6" x14ac:dyDescent="0.3"/>
  <cols>
    <col min="1" max="1" width="6" style="98" bestFit="1" customWidth="1"/>
    <col min="2" max="2" width="47.109375" style="98" bestFit="1" customWidth="1"/>
    <col min="3" max="3" width="30" style="98" customWidth="1"/>
    <col min="4" max="6" width="22.88671875" style="98" customWidth="1"/>
    <col min="7" max="7" width="22.88671875" style="98" hidden="1" customWidth="1"/>
    <col min="8" max="8" width="25.6640625" style="160" hidden="1" customWidth="1"/>
    <col min="9" max="9" width="19.88671875" style="98"/>
    <col min="10" max="10" width="19.44140625" style="98" customWidth="1"/>
    <col min="11" max="11" width="62.6640625" style="98" customWidth="1"/>
    <col min="12" max="12" width="36.33203125" style="98" customWidth="1"/>
    <col min="13" max="14" width="22.44140625" style="98" bestFit="1" customWidth="1"/>
    <col min="15" max="15" width="14" style="98" bestFit="1" customWidth="1"/>
    <col min="16" max="16" width="14" style="98" hidden="1" customWidth="1"/>
    <col min="17" max="17" width="27" style="98" hidden="1" customWidth="1"/>
    <col min="18" max="18" width="11.33203125" style="98" customWidth="1"/>
    <col min="19" max="19" width="14.5546875" style="98" customWidth="1"/>
    <col min="20" max="20" width="30.109375" style="98" customWidth="1"/>
    <col min="21" max="16384" width="19.88671875" style="98"/>
  </cols>
  <sheetData>
    <row r="1" spans="1:33" ht="20.25" customHeight="1" x14ac:dyDescent="0.3">
      <c r="A1" s="406" t="s">
        <v>69</v>
      </c>
      <c r="B1" s="406"/>
      <c r="C1" s="406"/>
      <c r="D1" s="406"/>
      <c r="E1" s="406"/>
      <c r="F1" s="406"/>
      <c r="G1" s="406"/>
      <c r="H1" s="406"/>
      <c r="I1" s="406"/>
      <c r="J1" s="406"/>
      <c r="K1" s="406"/>
      <c r="L1" s="406"/>
      <c r="M1" s="406"/>
      <c r="N1" s="406"/>
      <c r="O1" s="406"/>
    </row>
    <row r="2" spans="1:33" ht="38.25" customHeight="1" x14ac:dyDescent="0.3">
      <c r="A2" s="413" t="str">
        <f>'Quadro Geral'!A2</f>
        <v>CAU/BA</v>
      </c>
      <c r="B2" s="413"/>
      <c r="C2" s="413"/>
      <c r="D2" s="413"/>
      <c r="E2" s="413"/>
      <c r="F2" s="413"/>
      <c r="G2" s="413"/>
      <c r="H2" s="413"/>
      <c r="I2" s="413"/>
      <c r="J2" s="413"/>
      <c r="K2" s="413"/>
      <c r="L2" s="413"/>
      <c r="M2" s="413"/>
      <c r="N2" s="413"/>
      <c r="O2" s="413"/>
    </row>
    <row r="3" spans="1:33" ht="41.25" customHeight="1" x14ac:dyDescent="0.3">
      <c r="A3" s="413" t="s">
        <v>289</v>
      </c>
      <c r="B3" s="413"/>
      <c r="C3" s="413"/>
      <c r="D3" s="413"/>
      <c r="E3" s="413"/>
      <c r="F3" s="413"/>
      <c r="G3" s="413"/>
      <c r="H3" s="413"/>
      <c r="I3" s="413"/>
      <c r="J3" s="413"/>
      <c r="K3" s="413"/>
      <c r="L3" s="413"/>
      <c r="M3" s="413"/>
      <c r="N3" s="413"/>
      <c r="O3" s="413"/>
    </row>
    <row r="4" spans="1:33" ht="23.25" customHeight="1" x14ac:dyDescent="0.3"/>
    <row r="5" spans="1:33" ht="65.25" customHeight="1" x14ac:dyDescent="0.3">
      <c r="A5" s="407" t="s">
        <v>53</v>
      </c>
      <c r="B5" s="408" t="s">
        <v>54</v>
      </c>
      <c r="C5" s="408"/>
      <c r="D5" s="12" t="s">
        <v>290</v>
      </c>
      <c r="E5" s="12" t="s">
        <v>291</v>
      </c>
      <c r="F5" s="12" t="s">
        <v>59</v>
      </c>
      <c r="G5" s="162"/>
      <c r="H5" s="161"/>
      <c r="I5" s="43"/>
      <c r="J5" s="407" t="s">
        <v>53</v>
      </c>
      <c r="K5" s="408" t="s">
        <v>55</v>
      </c>
      <c r="L5" s="408"/>
      <c r="M5" s="12" t="s">
        <v>290</v>
      </c>
      <c r="N5" s="12" t="s">
        <v>291</v>
      </c>
      <c r="O5" s="12" t="s">
        <v>175</v>
      </c>
    </row>
    <row r="6" spans="1:33" ht="48.75" customHeight="1" x14ac:dyDescent="0.3">
      <c r="A6" s="407"/>
      <c r="B6" s="409" t="s">
        <v>252</v>
      </c>
      <c r="C6" s="409"/>
      <c r="D6" s="44">
        <f>'Anexo 1. Fontes e Aplicações'!C9</f>
        <v>4708747.3100000005</v>
      </c>
      <c r="E6" s="44">
        <f>'Anexo 1. Fontes e Aplicações'!F9</f>
        <v>5082488.16</v>
      </c>
      <c r="F6" s="45">
        <f>IFERROR(E6/D6*100-100,0)</f>
        <v>7.937160892160918</v>
      </c>
      <c r="G6" s="162" t="b">
        <f>D6='[3]Anexo 2. Limites Estratégicos'!$E$6</f>
        <v>1</v>
      </c>
      <c r="H6" s="158" t="b">
        <f>'Anexo 1. Fontes e Aplicações'!L9=E6</f>
        <v>1</v>
      </c>
      <c r="I6" s="46"/>
      <c r="J6" s="407"/>
      <c r="K6" s="410" t="s">
        <v>75</v>
      </c>
      <c r="L6" s="410"/>
      <c r="M6" s="48">
        <v>2495991.66</v>
      </c>
      <c r="N6" s="48">
        <v>2444498.37</v>
      </c>
      <c r="O6" s="49">
        <f>IFERROR(N6/M6*100-100,0)</f>
        <v>-2.0630393452516671</v>
      </c>
      <c r="P6" s="98" t="b">
        <f>M6='[3]Anexo 2. Limites Estratégicos'!$O$6</f>
        <v>1</v>
      </c>
      <c r="Q6" s="55" t="b">
        <f>N6='Anexo 3. Elemento de Despesas'!F42</f>
        <v>1</v>
      </c>
      <c r="R6" s="55"/>
      <c r="U6" s="99"/>
      <c r="V6" s="99"/>
      <c r="W6" s="99"/>
      <c r="X6" s="99"/>
      <c r="Y6" s="99"/>
      <c r="Z6" s="99"/>
      <c r="AA6" s="99"/>
    </row>
    <row r="7" spans="1:33" ht="48.75" customHeight="1" x14ac:dyDescent="0.3">
      <c r="A7" s="407"/>
      <c r="B7" s="409" t="s">
        <v>56</v>
      </c>
      <c r="C7" s="409"/>
      <c r="D7" s="44">
        <f>'Anexo 1. Fontes e Aplicações'!C21</f>
        <v>0</v>
      </c>
      <c r="E7" s="44">
        <f>'Anexo 1. Fontes e Aplicações'!F21</f>
        <v>0</v>
      </c>
      <c r="F7" s="45">
        <f>IFERROR(E7/D7*100-100,0)</f>
        <v>0</v>
      </c>
      <c r="G7" s="162" t="b">
        <f>D7='[3]Anexo 2. Limites Estratégicos'!$D$7</f>
        <v>1</v>
      </c>
      <c r="H7" s="162"/>
      <c r="I7" s="46"/>
      <c r="J7" s="407"/>
      <c r="K7" s="410" t="s">
        <v>70</v>
      </c>
      <c r="L7" s="410"/>
      <c r="M7" s="47">
        <v>382029.02</v>
      </c>
      <c r="N7" s="47">
        <v>344304.72</v>
      </c>
      <c r="O7" s="49">
        <f>IFERROR(N7/M7*100-100,0)</f>
        <v>-9.8747210355904542</v>
      </c>
      <c r="P7" s="98" t="b">
        <f>M7='[3]Anexo 2. Limites Estratégicos'!$O$7</f>
        <v>1</v>
      </c>
      <c r="Q7" s="55" t="b">
        <f>43661.52+175032+125611.2=N7</f>
        <v>1</v>
      </c>
      <c r="R7" s="55"/>
    </row>
    <row r="8" spans="1:33" ht="48.75" customHeight="1" x14ac:dyDescent="0.3">
      <c r="A8" s="407"/>
      <c r="B8" s="411" t="s">
        <v>71</v>
      </c>
      <c r="C8" s="411"/>
      <c r="D8" s="50">
        <f>SUM(D6:D7)</f>
        <v>4708747.3100000005</v>
      </c>
      <c r="E8" s="50">
        <f>SUM(E6:E7)</f>
        <v>5082488.16</v>
      </c>
      <c r="F8" s="51">
        <f>IFERROR(E8/D8*100-100,0)</f>
        <v>7.937160892160918</v>
      </c>
      <c r="G8" s="162" t="b">
        <f>D8='[3]Anexo 2. Limites Estratégicos'!$E$8</f>
        <v>1</v>
      </c>
      <c r="H8" s="162"/>
      <c r="I8" s="46"/>
      <c r="J8" s="407"/>
      <c r="K8" s="410" t="s">
        <v>72</v>
      </c>
      <c r="L8" s="410"/>
      <c r="M8" s="52">
        <f>'Anexo 1. Fontes e Aplicações'!C8</f>
        <v>5723862.5690103611</v>
      </c>
      <c r="N8" s="52">
        <f>'Anexo 1. Fontes e Aplicações'!F8</f>
        <v>6099238.2365753837</v>
      </c>
      <c r="O8" s="49">
        <f>IFERROR(N8/M8*100-100,0)</f>
        <v>6.5580831656816656</v>
      </c>
      <c r="P8" s="98" t="b">
        <f>M8='[3]Anexo 2. Limites Estratégicos'!$O$8</f>
        <v>1</v>
      </c>
    </row>
    <row r="9" spans="1:33" ht="48.75" customHeight="1" x14ac:dyDescent="0.3">
      <c r="A9" s="407"/>
      <c r="B9" s="409" t="s">
        <v>73</v>
      </c>
      <c r="C9" s="409"/>
      <c r="D9" s="53">
        <f>'Anexo 1. Fontes e Aplicações'!C33</f>
        <v>63933.47699640358</v>
      </c>
      <c r="E9" s="53">
        <f>'Anexo 1. Fontes e Aplicações'!F33</f>
        <v>63933.476996403595</v>
      </c>
      <c r="F9" s="54">
        <f>IFERROR(E9/D9*100-100,0)</f>
        <v>2.8421709430404007E-14</v>
      </c>
      <c r="G9" s="162" t="b">
        <f>D9='[3]Anexo 2. Limites Estratégicos'!$E$9</f>
        <v>1</v>
      </c>
      <c r="H9" s="158" t="b">
        <f>E9='Diretrizes - Resumo'!AN6</f>
        <v>1</v>
      </c>
      <c r="I9" s="46"/>
      <c r="J9" s="412"/>
      <c r="K9" s="412"/>
      <c r="L9" s="43"/>
      <c r="M9" s="158" t="b">
        <f>M8='Anexo 1. Fontes e Aplicações'!C8</f>
        <v>1</v>
      </c>
      <c r="N9" s="159" t="b">
        <f>N8='Anexo 1. Fontes e Aplicações'!F8</f>
        <v>1</v>
      </c>
      <c r="O9" s="55"/>
      <c r="Q9" s="55"/>
      <c r="R9" s="55"/>
      <c r="S9" s="55"/>
      <c r="T9" s="56"/>
    </row>
    <row r="10" spans="1:33" ht="48.75" customHeight="1" x14ac:dyDescent="0.3">
      <c r="A10" s="407"/>
      <c r="B10" s="351" t="s">
        <v>87</v>
      </c>
      <c r="C10" s="351"/>
      <c r="D10" s="50">
        <f>D8-D9</f>
        <v>4644813.8330035973</v>
      </c>
      <c r="E10" s="50">
        <f>E8-E9</f>
        <v>5018554.683003597</v>
      </c>
      <c r="F10" s="51">
        <f>IFERROR(E10/D10*100-100,0)</f>
        <v>8.0464118355916554</v>
      </c>
      <c r="G10" s="162" t="b">
        <f>D10='[3]Anexo 2. Limites Estratégicos'!$E$10</f>
        <v>1</v>
      </c>
      <c r="H10" s="163"/>
      <c r="I10" s="23"/>
      <c r="J10" s="57"/>
      <c r="K10" s="57"/>
      <c r="L10" s="43"/>
      <c r="M10" s="58"/>
      <c r="N10" s="59"/>
      <c r="O10" s="58"/>
      <c r="Q10" s="434"/>
      <c r="R10" s="434"/>
      <c r="S10" s="434"/>
      <c r="T10" s="434"/>
    </row>
    <row r="11" spans="1:33" x14ac:dyDescent="0.3">
      <c r="A11" s="1"/>
      <c r="B11" s="60"/>
      <c r="C11" s="60"/>
      <c r="D11" s="23"/>
      <c r="E11" s="23"/>
      <c r="F11" s="58"/>
      <c r="G11" s="162"/>
      <c r="H11" s="163"/>
      <c r="I11" s="23"/>
      <c r="J11" s="57"/>
      <c r="K11" s="57"/>
      <c r="L11" s="43"/>
      <c r="M11" s="58"/>
      <c r="N11" s="59"/>
      <c r="O11" s="58"/>
      <c r="Q11" s="2"/>
      <c r="R11" s="187"/>
      <c r="S11" s="2"/>
      <c r="T11" s="2"/>
    </row>
    <row r="12" spans="1:33" ht="50.1" customHeight="1" x14ac:dyDescent="0.3">
      <c r="A12" s="423" t="s">
        <v>79</v>
      </c>
      <c r="B12" s="408" t="s">
        <v>60</v>
      </c>
      <c r="C12" s="408"/>
      <c r="D12" s="12" t="s">
        <v>290</v>
      </c>
      <c r="E12" s="12" t="s">
        <v>291</v>
      </c>
      <c r="F12" s="12" t="s">
        <v>3</v>
      </c>
      <c r="G12" s="162"/>
      <c r="H12" s="163"/>
      <c r="I12" s="23"/>
      <c r="J12" s="408" t="s">
        <v>60</v>
      </c>
      <c r="K12" s="408"/>
      <c r="L12" s="408"/>
      <c r="M12" s="12" t="s">
        <v>290</v>
      </c>
      <c r="N12" s="12" t="s">
        <v>291</v>
      </c>
      <c r="O12" s="12" t="s">
        <v>80</v>
      </c>
      <c r="Q12" s="3"/>
      <c r="R12" s="3"/>
      <c r="S12" s="3"/>
      <c r="T12" s="3"/>
    </row>
    <row r="13" spans="1:33" ht="39" customHeight="1" x14ac:dyDescent="0.3">
      <c r="A13" s="424"/>
      <c r="B13" s="431" t="s">
        <v>301</v>
      </c>
      <c r="C13" s="61" t="s">
        <v>57</v>
      </c>
      <c r="D13" s="62">
        <f>'Quadro Geral'!I16+'Quadro Geral'!I32+'Quadro Geral'!I34</f>
        <v>877076.65</v>
      </c>
      <c r="E13" s="63">
        <f>'Quadro Geral'!L16+'Quadro Geral'!L32+'Quadro Geral'!L34</f>
        <v>790636.95</v>
      </c>
      <c r="F13" s="54">
        <f>IFERROR(E13/D13*100-100,)</f>
        <v>-9.8554328176448536</v>
      </c>
      <c r="G13" s="162" t="b">
        <f>D13='[3]Anexo 2. Limites Estratégicos'!$E$13</f>
        <v>1</v>
      </c>
      <c r="H13" s="158" t="b">
        <f>E13='Matriz de Obj. Estrat.'!J5</f>
        <v>1</v>
      </c>
      <c r="I13" s="23"/>
      <c r="J13" s="435" t="s">
        <v>361</v>
      </c>
      <c r="K13" s="435"/>
      <c r="L13" s="61" t="s">
        <v>57</v>
      </c>
      <c r="M13" s="62">
        <f>(M6-M7)</f>
        <v>2113962.64</v>
      </c>
      <c r="N13" s="262">
        <f>(N6-N7)</f>
        <v>2100193.6500000004</v>
      </c>
      <c r="O13" s="64">
        <f>IFERROR(N13/M13*100-100,0)</f>
        <v>-0.65133554110491332</v>
      </c>
      <c r="P13" s="98" t="b">
        <f>M13='[3]Anexo 2. Limites Estratégicos'!$O$13</f>
        <v>1</v>
      </c>
      <c r="S13" s="320"/>
      <c r="T13" s="320"/>
      <c r="U13" s="320"/>
      <c r="V13" s="320"/>
      <c r="W13" s="99"/>
      <c r="X13" s="99"/>
      <c r="Y13" s="99"/>
      <c r="Z13" s="99"/>
      <c r="AA13" s="99"/>
      <c r="AB13" s="99"/>
      <c r="AC13" s="99"/>
      <c r="AD13" s="99"/>
      <c r="AE13" s="99"/>
      <c r="AF13" s="99"/>
      <c r="AG13" s="99"/>
    </row>
    <row r="14" spans="1:33" ht="39" customHeight="1" x14ac:dyDescent="0.3">
      <c r="A14" s="424"/>
      <c r="B14" s="432"/>
      <c r="C14" s="65" t="s">
        <v>58</v>
      </c>
      <c r="D14" s="66">
        <f>IFERROR(D13/$D$10,0)</f>
        <v>0.1888292365493652</v>
      </c>
      <c r="E14" s="66">
        <f>IFERROR(E13/$E$10,0)</f>
        <v>0.15754275881015309</v>
      </c>
      <c r="F14" s="64">
        <f>(E14-D14)*100</f>
        <v>-3.1286477739212115</v>
      </c>
      <c r="G14" s="162" t="b">
        <f>D14='[3]Anexo 2. Limites Estratégicos'!$E$14</f>
        <v>1</v>
      </c>
      <c r="H14" s="158"/>
      <c r="I14" s="23"/>
      <c r="J14" s="435"/>
      <c r="K14" s="435"/>
      <c r="L14" s="65" t="s">
        <v>58</v>
      </c>
      <c r="M14" s="67">
        <f>IFERROR(M13/M8,)</f>
        <v>0.36932449277263096</v>
      </c>
      <c r="N14" s="67">
        <f>IFERROR(N13/N8,)</f>
        <v>0.3443370415350791</v>
      </c>
      <c r="O14" s="49">
        <f>(N14-M14)*100</f>
        <v>-2.4987451237551861</v>
      </c>
      <c r="P14" s="98" t="b">
        <f>M14='[3]Anexo 2. Limites Estratégicos'!$O$14</f>
        <v>1</v>
      </c>
      <c r="S14" s="99"/>
      <c r="T14" s="99"/>
      <c r="U14" s="99"/>
      <c r="V14" s="99"/>
      <c r="W14" s="99"/>
      <c r="X14" s="99"/>
      <c r="Y14" s="99"/>
      <c r="Z14" s="99"/>
      <c r="AA14" s="99"/>
      <c r="AB14" s="99"/>
      <c r="AC14" s="99"/>
      <c r="AD14" s="99"/>
      <c r="AE14" s="99"/>
      <c r="AF14" s="99"/>
      <c r="AG14" s="99"/>
    </row>
    <row r="15" spans="1:33" ht="39" customHeight="1" x14ac:dyDescent="0.3">
      <c r="A15" s="424"/>
      <c r="B15" s="431" t="s">
        <v>302</v>
      </c>
      <c r="C15" s="61" t="s">
        <v>57</v>
      </c>
      <c r="D15" s="62">
        <f>'Quadro Geral'!I10+'Quadro Geral'!I23+'Quadro Geral'!I29+'Quadro Geral'!I33+'Quadro Geral'!I40</f>
        <v>773049.59</v>
      </c>
      <c r="E15" s="63">
        <f>'Quadro Geral'!L10+'Quadro Geral'!L23+'Quadro Geral'!L29+'Quadro Geral'!L33+'Quadro Geral'!L40</f>
        <v>707040.50957897876</v>
      </c>
      <c r="F15" s="54">
        <f>IFERROR(E15/D15*100-100,)</f>
        <v>-8.5387899139848429</v>
      </c>
      <c r="G15" s="162" t="b">
        <f>D15='[3]Anexo 2. Limites Estratégicos'!$E$15</f>
        <v>1</v>
      </c>
      <c r="H15" s="158" t="b">
        <f>E15='Matriz de Obj. Estrat.'!J6</f>
        <v>1</v>
      </c>
      <c r="I15" s="23"/>
      <c r="J15" s="427" t="s">
        <v>303</v>
      </c>
      <c r="K15" s="428"/>
      <c r="L15" s="61" t="s">
        <v>57</v>
      </c>
      <c r="M15" s="62">
        <v>50000</v>
      </c>
      <c r="N15" s="63">
        <v>80000</v>
      </c>
      <c r="O15" s="64">
        <f>IFERROR(N15/M15*100-100,0)</f>
        <v>60</v>
      </c>
      <c r="P15" s="98" t="b">
        <f>M15='[3]Anexo 2. Limites Estratégicos'!$O$15</f>
        <v>1</v>
      </c>
      <c r="Q15" s="159" t="b">
        <f>N15='Matriz de Obj. Estrat.'!J16</f>
        <v>1</v>
      </c>
      <c r="R15" s="159"/>
    </row>
    <row r="16" spans="1:33" ht="39" customHeight="1" x14ac:dyDescent="0.3">
      <c r="A16" s="424"/>
      <c r="B16" s="432"/>
      <c r="C16" s="65" t="s">
        <v>58</v>
      </c>
      <c r="D16" s="66">
        <f>IFERROR(D15/$D$10,0)</f>
        <v>0.16643284699746572</v>
      </c>
      <c r="E16" s="66">
        <f>IFERROR(E15/$E$10,0)</f>
        <v>0.14088528555313382</v>
      </c>
      <c r="F16" s="64">
        <f>(E16-D16)*100</f>
        <v>-2.5547561444331901</v>
      </c>
      <c r="G16" s="162" t="b">
        <f>D16='[3]Anexo 2. Limites Estratégicos'!$E$16</f>
        <v>1</v>
      </c>
      <c r="H16" s="158"/>
      <c r="I16" s="23"/>
      <c r="J16" s="429"/>
      <c r="K16" s="430"/>
      <c r="L16" s="65" t="s">
        <v>58</v>
      </c>
      <c r="M16" s="68">
        <f>IFERROR(M15/M6,)</f>
        <v>2.0032118216292437E-2</v>
      </c>
      <c r="N16" s="68">
        <f>IFERROR(N15/N6,)</f>
        <v>3.2726550764687154E-2</v>
      </c>
      <c r="O16" s="64">
        <f>(N16-M16)*100</f>
        <v>1.2694432548394716</v>
      </c>
      <c r="P16" s="98" t="b">
        <f>M16='[3]Anexo 2. Limites Estratégicos'!$O$16</f>
        <v>1</v>
      </c>
    </row>
    <row r="17" spans="1:18" ht="39" customHeight="1" x14ac:dyDescent="0.3">
      <c r="A17" s="424"/>
      <c r="B17" s="431" t="s">
        <v>304</v>
      </c>
      <c r="C17" s="61" t="s">
        <v>57</v>
      </c>
      <c r="D17" s="62">
        <f>'Quadro Geral'!I8+'Quadro Geral'!I22+'Quadro Geral'!I26</f>
        <v>840835.82</v>
      </c>
      <c r="E17" s="63">
        <f>'Quadro Geral'!L8+'Quadro Geral'!L22+'Quadro Geral'!L26</f>
        <v>817885.45</v>
      </c>
      <c r="F17" s="54">
        <f>IFERROR(E17/D17*100-100,)</f>
        <v>-2.7294710161134788</v>
      </c>
      <c r="G17" s="162" t="b">
        <f>D17='[3]Anexo 2. Limites Estratégicos'!$E$17</f>
        <v>1</v>
      </c>
      <c r="H17" s="158" t="b">
        <f>E17='Matriz de Obj. Estrat.'!J11</f>
        <v>1</v>
      </c>
      <c r="I17" s="23"/>
      <c r="Q17" s="1"/>
      <c r="R17" s="1"/>
    </row>
    <row r="18" spans="1:18" ht="39" customHeight="1" x14ac:dyDescent="0.3">
      <c r="A18" s="424"/>
      <c r="B18" s="432"/>
      <c r="C18" s="65" t="s">
        <v>58</v>
      </c>
      <c r="D18" s="66">
        <f>IFERROR(D17/$D$10,0)</f>
        <v>0.18102680758170847</v>
      </c>
      <c r="E18" s="66">
        <f>IFERROR(E17/$E$10,0)</f>
        <v>0.16297231008958477</v>
      </c>
      <c r="F18" s="64">
        <f>(E18-D18)*100</f>
        <v>-1.8054497492123707</v>
      </c>
      <c r="G18" s="162" t="b">
        <f>D18='[3]Anexo 2. Limites Estratégicos'!$E$18</f>
        <v>1</v>
      </c>
      <c r="H18" s="158"/>
      <c r="I18" s="23"/>
      <c r="J18" s="433" t="s">
        <v>362</v>
      </c>
      <c r="K18" s="433"/>
      <c r="L18" s="426" t="s">
        <v>294</v>
      </c>
      <c r="M18" s="426"/>
      <c r="N18" s="426"/>
      <c r="O18" s="426"/>
    </row>
    <row r="19" spans="1:18" ht="39" customHeight="1" x14ac:dyDescent="0.3">
      <c r="A19" s="424"/>
      <c r="B19" s="431" t="s">
        <v>305</v>
      </c>
      <c r="C19" s="61" t="s">
        <v>57</v>
      </c>
      <c r="D19" s="62">
        <f>'Quadro Geral'!I24</f>
        <v>100000</v>
      </c>
      <c r="E19" s="63">
        <f>'Quadro Geral'!L24</f>
        <v>100000</v>
      </c>
      <c r="F19" s="54">
        <f>IFERROR(E19/D19*100-100,)</f>
        <v>0</v>
      </c>
      <c r="G19" s="162" t="b">
        <f>D19='[3]Anexo 2. Limites Estratégicos'!$E$19</f>
        <v>1</v>
      </c>
      <c r="H19" s="158" t="b">
        <f>'Quadro Geral'!L24=E19</f>
        <v>1</v>
      </c>
      <c r="I19" s="69"/>
      <c r="J19" s="433"/>
      <c r="K19" s="433"/>
      <c r="L19" s="426"/>
      <c r="M19" s="426"/>
      <c r="N19" s="426"/>
      <c r="O19" s="426"/>
    </row>
    <row r="20" spans="1:18" ht="39" customHeight="1" x14ac:dyDescent="0.3">
      <c r="A20" s="424"/>
      <c r="B20" s="432"/>
      <c r="C20" s="65" t="s">
        <v>58</v>
      </c>
      <c r="D20" s="66">
        <f>IFERROR(D19/$D$10,0)</f>
        <v>2.152938817255769E-2</v>
      </c>
      <c r="E20" s="66">
        <f>IFERROR(E19/$E$10,0)</f>
        <v>1.9926055670703612E-2</v>
      </c>
      <c r="F20" s="64">
        <f>(E20-D20)*100</f>
        <v>-0.16033325018540781</v>
      </c>
      <c r="G20" s="162" t="b">
        <f>D20='[3]Anexo 2. Limites Estratégicos'!$E$20</f>
        <v>1</v>
      </c>
      <c r="H20" s="158"/>
      <c r="I20" s="23"/>
      <c r="J20" s="433"/>
      <c r="K20" s="433"/>
      <c r="L20" s="426"/>
      <c r="M20" s="426"/>
      <c r="N20" s="426"/>
      <c r="O20" s="426"/>
    </row>
    <row r="21" spans="1:18" ht="39" customHeight="1" x14ac:dyDescent="0.3">
      <c r="A21" s="424"/>
      <c r="B21" s="431" t="s">
        <v>644</v>
      </c>
      <c r="C21" s="61" t="s">
        <v>57</v>
      </c>
      <c r="D21" s="62">
        <f>'Quadro Geral'!I10+'Quadro Geral'!I11+'Quadro Geral'!I14+'Quadro Geral'!I18+'Quadro Geral'!I23+'Quadro Geral'!I29+'Quadro Geral'!I33+'Quadro Geral'!I40</f>
        <v>1151166.8699999999</v>
      </c>
      <c r="E21" s="63">
        <f>'Quadro Geral'!L10+'Quadro Geral'!L11+'Quadro Geral'!L14+'Quadro Geral'!L18+'Quadro Geral'!L23+'Quadro Geral'!L29+'Quadro Geral'!L33+'Quadro Geral'!L40</f>
        <v>1157332.4695789786</v>
      </c>
      <c r="F21" s="54">
        <f>IFERROR(E21/D21*100-100,)</f>
        <v>0.53559564122782888</v>
      </c>
      <c r="G21" s="162" t="b">
        <f>D21='[3]Anexo 2. Limites Estratégicos'!$E$21</f>
        <v>1</v>
      </c>
      <c r="H21" s="158" t="b">
        <f>'Matriz de Obj. Estrat.'!J6+'Matriz de Obj. Estrat.'!J8+'Matriz de Obj. Estrat.'!J12=E21</f>
        <v>1</v>
      </c>
      <c r="I21" s="23"/>
      <c r="J21" s="433"/>
      <c r="K21" s="433"/>
      <c r="L21" s="426"/>
      <c r="M21" s="426"/>
      <c r="N21" s="426"/>
      <c r="O21" s="426"/>
    </row>
    <row r="22" spans="1:18" ht="39" customHeight="1" x14ac:dyDescent="0.3">
      <c r="A22" s="424"/>
      <c r="B22" s="432"/>
      <c r="C22" s="65" t="s">
        <v>58</v>
      </c>
      <c r="D22" s="66">
        <f>IFERROR(D21/$D$10,0)</f>
        <v>0.24783918395618254</v>
      </c>
      <c r="E22" s="66">
        <f>IFERROR(E21/$E$10,0)</f>
        <v>0.23061071218343623</v>
      </c>
      <c r="F22" s="64">
        <f>(E22-D22)*100</f>
        <v>-1.7228471772746308</v>
      </c>
      <c r="G22" s="162" t="b">
        <f>D22='[3]Anexo 2. Limites Estratégicos'!$E$22</f>
        <v>1</v>
      </c>
      <c r="H22" s="158"/>
      <c r="I22" s="23"/>
      <c r="J22" s="433"/>
      <c r="K22" s="433"/>
      <c r="L22" s="426"/>
      <c r="M22" s="426"/>
      <c r="N22" s="426"/>
      <c r="O22" s="426"/>
    </row>
    <row r="23" spans="1:18" ht="39" customHeight="1" x14ac:dyDescent="0.3">
      <c r="A23" s="424"/>
      <c r="B23" s="431" t="s">
        <v>645</v>
      </c>
      <c r="C23" s="61" t="s">
        <v>57</v>
      </c>
      <c r="D23" s="62">
        <f>'Quadro Geral'!I28</f>
        <v>268400</v>
      </c>
      <c r="E23" s="63">
        <f>'Quadro Geral'!L28</f>
        <v>268400</v>
      </c>
      <c r="F23" s="54">
        <f>IFERROR(E23/D23*100-100,)</f>
        <v>0</v>
      </c>
      <c r="G23" s="162" t="b">
        <f>D23='[3]Anexo 2. Limites Estratégicos'!$E$23</f>
        <v>1</v>
      </c>
      <c r="H23" s="158" t="b">
        <f>'Matriz de Obj. Estrat.'!J13=E23</f>
        <v>1</v>
      </c>
      <c r="I23" s="23"/>
      <c r="J23" s="433"/>
      <c r="K23" s="433"/>
      <c r="L23" s="426"/>
      <c r="M23" s="426"/>
      <c r="N23" s="426"/>
      <c r="O23" s="426"/>
    </row>
    <row r="24" spans="1:18" ht="39" customHeight="1" x14ac:dyDescent="0.3">
      <c r="A24" s="424"/>
      <c r="B24" s="432"/>
      <c r="C24" s="65" t="s">
        <v>58</v>
      </c>
      <c r="D24" s="66">
        <f>IFERROR(D23/$D$10,0)</f>
        <v>5.7784877855144842E-2</v>
      </c>
      <c r="E24" s="66">
        <f>IFERROR(E23/$E$10,0)</f>
        <v>5.3481533420168502E-2</v>
      </c>
      <c r="F24" s="64">
        <f>(E24-D24)*100</f>
        <v>-0.43033444349763406</v>
      </c>
      <c r="G24" s="162" t="b">
        <f>D24='[3]Anexo 2. Limites Estratégicos'!$E$24</f>
        <v>1</v>
      </c>
      <c r="H24" s="158"/>
      <c r="I24" s="23"/>
    </row>
    <row r="25" spans="1:18" ht="39" customHeight="1" x14ac:dyDescent="0.3">
      <c r="A25" s="424"/>
      <c r="B25" s="431" t="s">
        <v>646</v>
      </c>
      <c r="C25" s="61" t="s">
        <v>57</v>
      </c>
      <c r="D25" s="62">
        <f>'Quadro Geral'!I35</f>
        <v>41000</v>
      </c>
      <c r="E25" s="63">
        <f>'Quadro Geral'!L35</f>
        <v>41000</v>
      </c>
      <c r="F25" s="54">
        <f>IFERROR(E25/D25*100-100,)</f>
        <v>0</v>
      </c>
      <c r="G25" s="162" t="b">
        <f>D25='[3]Anexo 2. Limites Estratégicos'!$E$25</f>
        <v>1</v>
      </c>
      <c r="H25" s="158" t="b">
        <f>E25='Anexo 1. Fontes e Aplicações'!F35</f>
        <v>1</v>
      </c>
      <c r="I25" s="23"/>
    </row>
    <row r="26" spans="1:18" ht="39" customHeight="1" x14ac:dyDescent="0.3">
      <c r="A26" s="425"/>
      <c r="B26" s="432"/>
      <c r="C26" s="65" t="s">
        <v>58</v>
      </c>
      <c r="D26" s="66">
        <f>IFERROR(D25/$D$10,0)</f>
        <v>8.8270491507486532E-3</v>
      </c>
      <c r="E26" s="66">
        <f>IFERROR(E25/$E$10,0)</f>
        <v>8.1696828249884813E-3</v>
      </c>
      <c r="F26" s="64">
        <f>(E26-D26)*100</f>
        <v>-6.5736632576017182E-2</v>
      </c>
      <c r="G26" s="162" t="b">
        <f>D26='[3]Anexo 2. Limites Estratégicos'!$E$26</f>
        <v>1</v>
      </c>
      <c r="H26" s="158"/>
      <c r="I26" s="23"/>
    </row>
    <row r="27" spans="1:18" x14ac:dyDescent="0.3">
      <c r="B27" s="100"/>
    </row>
    <row r="28" spans="1:18" ht="27" customHeight="1" x14ac:dyDescent="0.3">
      <c r="A28" s="413" t="s">
        <v>293</v>
      </c>
      <c r="B28" s="413"/>
      <c r="C28" s="413"/>
      <c r="D28" s="413"/>
      <c r="E28" s="413"/>
      <c r="F28" s="413"/>
      <c r="G28" s="413"/>
      <c r="H28" s="413"/>
      <c r="I28" s="413"/>
      <c r="J28" s="413"/>
      <c r="K28" s="413"/>
      <c r="L28" s="413"/>
      <c r="M28" s="413"/>
      <c r="N28" s="413"/>
      <c r="O28" s="413"/>
      <c r="P28" s="413"/>
      <c r="Q28" s="413"/>
      <c r="R28" s="277"/>
    </row>
    <row r="29" spans="1:18" ht="14.4" customHeight="1" x14ac:dyDescent="0.3">
      <c r="A29" s="414" t="s">
        <v>505</v>
      </c>
      <c r="B29" s="415"/>
      <c r="C29" s="415"/>
      <c r="D29" s="415"/>
      <c r="E29" s="415"/>
      <c r="F29" s="415"/>
      <c r="G29" s="415"/>
      <c r="H29" s="415"/>
      <c r="I29" s="415"/>
      <c r="J29" s="415"/>
      <c r="K29" s="415"/>
      <c r="L29" s="415"/>
      <c r="M29" s="415"/>
      <c r="N29" s="415"/>
      <c r="O29" s="415"/>
      <c r="P29" s="415"/>
      <c r="Q29" s="416"/>
      <c r="R29" s="278"/>
    </row>
    <row r="30" spans="1:18" ht="14.4" customHeight="1" x14ac:dyDescent="0.3">
      <c r="A30" s="417"/>
      <c r="B30" s="418"/>
      <c r="C30" s="418"/>
      <c r="D30" s="418"/>
      <c r="E30" s="418"/>
      <c r="F30" s="418"/>
      <c r="G30" s="418"/>
      <c r="H30" s="418"/>
      <c r="I30" s="418"/>
      <c r="J30" s="418"/>
      <c r="K30" s="418"/>
      <c r="L30" s="418"/>
      <c r="M30" s="418"/>
      <c r="N30" s="418"/>
      <c r="O30" s="418"/>
      <c r="P30" s="418"/>
      <c r="Q30" s="419"/>
      <c r="R30" s="278"/>
    </row>
    <row r="31" spans="1:18" ht="14.4" customHeight="1" x14ac:dyDescent="0.3">
      <c r="A31" s="417"/>
      <c r="B31" s="418"/>
      <c r="C31" s="418"/>
      <c r="D31" s="418"/>
      <c r="E31" s="418"/>
      <c r="F31" s="418"/>
      <c r="G31" s="418"/>
      <c r="H31" s="418"/>
      <c r="I31" s="418"/>
      <c r="J31" s="418"/>
      <c r="K31" s="418"/>
      <c r="L31" s="418"/>
      <c r="M31" s="418"/>
      <c r="N31" s="418"/>
      <c r="O31" s="418"/>
      <c r="P31" s="418"/>
      <c r="Q31" s="419"/>
      <c r="R31" s="278"/>
    </row>
    <row r="32" spans="1:18" ht="14.4" customHeight="1" x14ac:dyDescent="0.3">
      <c r="A32" s="417"/>
      <c r="B32" s="418"/>
      <c r="C32" s="418"/>
      <c r="D32" s="418"/>
      <c r="E32" s="418"/>
      <c r="F32" s="418"/>
      <c r="G32" s="418"/>
      <c r="H32" s="418"/>
      <c r="I32" s="418"/>
      <c r="J32" s="418"/>
      <c r="K32" s="418"/>
      <c r="L32" s="418"/>
      <c r="M32" s="418"/>
      <c r="N32" s="418"/>
      <c r="O32" s="418"/>
      <c r="P32" s="418"/>
      <c r="Q32" s="419"/>
      <c r="R32" s="278"/>
    </row>
    <row r="33" spans="1:18" ht="14.4" customHeight="1" x14ac:dyDescent="0.3">
      <c r="A33" s="417"/>
      <c r="B33" s="418"/>
      <c r="C33" s="418"/>
      <c r="D33" s="418"/>
      <c r="E33" s="418"/>
      <c r="F33" s="418"/>
      <c r="G33" s="418"/>
      <c r="H33" s="418"/>
      <c r="I33" s="418"/>
      <c r="J33" s="418"/>
      <c r="K33" s="418"/>
      <c r="L33" s="418"/>
      <c r="M33" s="418"/>
      <c r="N33" s="418"/>
      <c r="O33" s="418"/>
      <c r="P33" s="418"/>
      <c r="Q33" s="419"/>
      <c r="R33" s="278"/>
    </row>
    <row r="34" spans="1:18" ht="14.4" customHeight="1" x14ac:dyDescent="0.3">
      <c r="A34" s="417"/>
      <c r="B34" s="418"/>
      <c r="C34" s="418"/>
      <c r="D34" s="418"/>
      <c r="E34" s="418"/>
      <c r="F34" s="418"/>
      <c r="G34" s="418"/>
      <c r="H34" s="418"/>
      <c r="I34" s="418"/>
      <c r="J34" s="418"/>
      <c r="K34" s="418"/>
      <c r="L34" s="418"/>
      <c r="M34" s="418"/>
      <c r="N34" s="418"/>
      <c r="O34" s="418"/>
      <c r="P34" s="418"/>
      <c r="Q34" s="419"/>
      <c r="R34" s="278"/>
    </row>
    <row r="35" spans="1:18" ht="15" customHeight="1" x14ac:dyDescent="0.3">
      <c r="A35" s="420"/>
      <c r="B35" s="421"/>
      <c r="C35" s="421"/>
      <c r="D35" s="421"/>
      <c r="E35" s="421"/>
      <c r="F35" s="421"/>
      <c r="G35" s="421"/>
      <c r="H35" s="421"/>
      <c r="I35" s="421"/>
      <c r="J35" s="421"/>
      <c r="K35" s="421"/>
      <c r="L35" s="421"/>
      <c r="M35" s="421"/>
      <c r="N35" s="421"/>
      <c r="O35" s="421"/>
      <c r="P35" s="421"/>
      <c r="Q35" s="422"/>
      <c r="R35" s="278"/>
    </row>
  </sheetData>
  <sheetProtection selectLockedCells="1"/>
  <mergeCells count="34">
    <mergeCell ref="S13:V13"/>
    <mergeCell ref="B23:B24"/>
    <mergeCell ref="B21:B22"/>
    <mergeCell ref="Q10:T10"/>
    <mergeCell ref="B12:C12"/>
    <mergeCell ref="J12:L12"/>
    <mergeCell ref="B13:B14"/>
    <mergeCell ref="J13:K14"/>
    <mergeCell ref="A29:Q35"/>
    <mergeCell ref="A12:A26"/>
    <mergeCell ref="A28:Q28"/>
    <mergeCell ref="L18:O23"/>
    <mergeCell ref="J15:K16"/>
    <mergeCell ref="B17:B18"/>
    <mergeCell ref="B25:B26"/>
    <mergeCell ref="B15:B16"/>
    <mergeCell ref="B19:B20"/>
    <mergeCell ref="J18:K23"/>
    <mergeCell ref="A1:O1"/>
    <mergeCell ref="A5:A10"/>
    <mergeCell ref="B5:C5"/>
    <mergeCell ref="J5:J8"/>
    <mergeCell ref="K5:L5"/>
    <mergeCell ref="B6:C6"/>
    <mergeCell ref="K6:L6"/>
    <mergeCell ref="B7:C7"/>
    <mergeCell ref="K7:L7"/>
    <mergeCell ref="B8:C8"/>
    <mergeCell ref="K8:L8"/>
    <mergeCell ref="B9:C9"/>
    <mergeCell ref="J9:K9"/>
    <mergeCell ref="A3:O3"/>
    <mergeCell ref="B10:C10"/>
    <mergeCell ref="A2:O2"/>
  </mergeCells>
  <conditionalFormatting sqref="M9:N9">
    <cfRule type="cellIs" dxfId="26" priority="11" operator="equal">
      <formula>$N$9</formula>
    </cfRule>
  </conditionalFormatting>
  <conditionalFormatting sqref="Q6:R6">
    <cfRule type="cellIs" dxfId="25" priority="10" operator="equal">
      <formula>$N$9</formula>
    </cfRule>
  </conditionalFormatting>
  <conditionalFormatting sqref="H13:H26">
    <cfRule type="cellIs" dxfId="24" priority="9" operator="equal">
      <formula>$N$9</formula>
    </cfRule>
  </conditionalFormatting>
  <conditionalFormatting sqref="Q15:R15">
    <cfRule type="cellIs" dxfId="23" priority="8" operator="equal">
      <formula>$N$9</formula>
    </cfRule>
  </conditionalFormatting>
  <conditionalFormatting sqref="Q7:R7">
    <cfRule type="cellIs" dxfId="22" priority="7" operator="equal">
      <formula>$N$9</formula>
    </cfRule>
  </conditionalFormatting>
  <conditionalFormatting sqref="H6">
    <cfRule type="cellIs" dxfId="21" priority="5" operator="equal">
      <formula>$N$9</formula>
    </cfRule>
  </conditionalFormatting>
  <conditionalFormatting sqref="H9">
    <cfRule type="cellIs" dxfId="20" priority="1" operator="equal">
      <formula>$N$9</formula>
    </cfRule>
  </conditionalFormatting>
  <pageMargins left="0.51181102362204722" right="0.51181102362204722" top="0.35433070866141736" bottom="0.78740157480314965" header="0.31496062992125984" footer="0.31496062992125984"/>
  <pageSetup paperSize="9" scale="50" fitToHeight="0"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6900"/>
  </sheetPr>
  <dimension ref="A1:AB56"/>
  <sheetViews>
    <sheetView showGridLines="0" view="pageBreakPreview" zoomScale="60" zoomScaleNormal="60" workbookViewId="0">
      <pane xSplit="5" ySplit="6" topLeftCell="F7" activePane="bottomRight" state="frozen"/>
      <selection pane="topRight" activeCell="F1" sqref="F1"/>
      <selection pane="bottomLeft" activeCell="A7" sqref="A7"/>
      <selection pane="bottomRight" activeCell="A11" sqref="A11"/>
    </sheetView>
  </sheetViews>
  <sheetFormatPr defaultColWidth="16.44140625" defaultRowHeight="15.6" x14ac:dyDescent="0.3"/>
  <cols>
    <col min="1" max="2" width="25.33203125" style="101" customWidth="1"/>
    <col min="3" max="3" width="32.109375" style="101" customWidth="1"/>
    <col min="4" max="4" width="27.6640625" style="101" customWidth="1"/>
    <col min="5" max="5" width="5.88671875" style="101" customWidth="1"/>
    <col min="6" max="14" width="25.6640625" style="101" customWidth="1"/>
    <col min="15" max="15" width="27.6640625" style="101" customWidth="1"/>
    <col min="16" max="16" width="25.6640625" style="101" customWidth="1"/>
    <col min="17" max="17" width="27.6640625" style="101" customWidth="1"/>
    <col min="18" max="18" width="12.33203125" style="101" customWidth="1"/>
    <col min="19" max="19" width="22.88671875" style="101" hidden="1" customWidth="1"/>
    <col min="20" max="16384" width="16.44140625" style="101"/>
  </cols>
  <sheetData>
    <row r="1" spans="1:28" s="25" customFormat="1" ht="56.1" customHeight="1" x14ac:dyDescent="0.3">
      <c r="A1" s="24" t="s">
        <v>253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U1" s="26"/>
      <c r="V1" s="27"/>
    </row>
    <row r="2" spans="1:28" ht="56.1" customHeight="1" x14ac:dyDescent="0.3">
      <c r="A2" s="453" t="str" cm="1">
        <f t="array" ref="A2">'Quadro Geral'!A2:O2</f>
        <v>CAU/BA</v>
      </c>
      <c r="B2" s="454"/>
      <c r="C2" s="454"/>
      <c r="D2" s="454"/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5"/>
      <c r="U2" s="30"/>
    </row>
    <row r="3" spans="1:28" ht="56.1" customHeight="1" x14ac:dyDescent="0.3">
      <c r="A3" s="456" t="s">
        <v>292</v>
      </c>
      <c r="B3" s="457"/>
      <c r="C3" s="457"/>
      <c r="D3" s="457"/>
      <c r="E3" s="457"/>
      <c r="F3" s="348"/>
      <c r="G3" s="348"/>
      <c r="H3" s="348"/>
      <c r="I3" s="348"/>
      <c r="J3" s="348"/>
      <c r="K3" s="348"/>
      <c r="L3" s="348"/>
      <c r="M3" s="348"/>
      <c r="N3" s="348"/>
      <c r="O3" s="348"/>
      <c r="P3" s="348"/>
      <c r="Q3" s="348"/>
      <c r="R3" s="349"/>
      <c r="U3" s="30"/>
    </row>
    <row r="5" spans="1:28" s="29" customFormat="1" ht="56.1" customHeight="1" x14ac:dyDescent="0.3">
      <c r="A5" s="327" t="s">
        <v>4</v>
      </c>
      <c r="B5" s="327" t="s">
        <v>164</v>
      </c>
      <c r="C5" s="451" t="s">
        <v>43</v>
      </c>
      <c r="D5" s="451" t="s">
        <v>276</v>
      </c>
      <c r="E5" s="103"/>
      <c r="F5" s="452" t="s">
        <v>1</v>
      </c>
      <c r="G5" s="452"/>
      <c r="H5" s="451" t="s">
        <v>44</v>
      </c>
      <c r="I5" s="458" t="s">
        <v>45</v>
      </c>
      <c r="J5" s="459"/>
      <c r="K5" s="459"/>
      <c r="L5" s="450" t="s">
        <v>154</v>
      </c>
      <c r="M5" s="450" t="s">
        <v>254</v>
      </c>
      <c r="N5" s="450" t="s">
        <v>46</v>
      </c>
      <c r="O5" s="450" t="s">
        <v>47</v>
      </c>
      <c r="P5" s="451" t="s">
        <v>2</v>
      </c>
      <c r="Q5" s="452" t="s">
        <v>0</v>
      </c>
      <c r="R5" s="452" t="s">
        <v>48</v>
      </c>
      <c r="S5" s="287"/>
      <c r="U5" s="30"/>
    </row>
    <row r="6" spans="1:28" s="29" customFormat="1" ht="56.1" customHeight="1" x14ac:dyDescent="0.3">
      <c r="A6" s="327"/>
      <c r="B6" s="327"/>
      <c r="C6" s="451"/>
      <c r="D6" s="451"/>
      <c r="E6" s="103"/>
      <c r="F6" s="28" t="s">
        <v>74</v>
      </c>
      <c r="G6" s="28" t="s">
        <v>49</v>
      </c>
      <c r="H6" s="451"/>
      <c r="I6" s="28" t="s">
        <v>49</v>
      </c>
      <c r="J6" s="28" t="s">
        <v>50</v>
      </c>
      <c r="K6" s="28" t="s">
        <v>51</v>
      </c>
      <c r="L6" s="450"/>
      <c r="M6" s="450"/>
      <c r="N6" s="450"/>
      <c r="O6" s="450"/>
      <c r="P6" s="451"/>
      <c r="Q6" s="452"/>
      <c r="R6" s="452"/>
      <c r="S6" s="287"/>
      <c r="T6" s="320"/>
      <c r="U6" s="320"/>
      <c r="V6" s="320"/>
      <c r="W6" s="320"/>
      <c r="X6" s="320"/>
      <c r="Y6" s="320"/>
      <c r="Z6" s="320"/>
      <c r="AA6" s="320"/>
      <c r="AB6" s="320"/>
    </row>
    <row r="7" spans="1:28" ht="56.1" customHeight="1" x14ac:dyDescent="0.3">
      <c r="A7" s="31" t="str">
        <f>'Quadro Geral'!A8</f>
        <v>Presidência</v>
      </c>
      <c r="B7" s="31" t="str">
        <f>'Quadro Geral'!B8</f>
        <v>A</v>
      </c>
      <c r="C7" s="32" t="str">
        <f>'Quadro Geral'!D8</f>
        <v>Articulação Institucional e fomento de parcerias estratégicas.</v>
      </c>
      <c r="D7" s="33">
        <f>'Quadro Geral'!L8</f>
        <v>283857.27</v>
      </c>
      <c r="E7" s="103"/>
      <c r="F7" s="34">
        <v>96857.27</v>
      </c>
      <c r="G7" s="34"/>
      <c r="H7" s="34"/>
      <c r="I7" s="178">
        <f>60000+15000</f>
        <v>75000</v>
      </c>
      <c r="J7" s="178">
        <f>40000+15000</f>
        <v>55000</v>
      </c>
      <c r="K7" s="34">
        <v>57000</v>
      </c>
      <c r="L7" s="34"/>
      <c r="M7" s="34"/>
      <c r="N7" s="34"/>
      <c r="O7" s="35">
        <f>SUM(F7:N7)</f>
        <v>283857.27</v>
      </c>
      <c r="P7" s="34"/>
      <c r="Q7" s="35">
        <f>O7+P7</f>
        <v>283857.27</v>
      </c>
      <c r="R7" s="36">
        <f t="shared" ref="R7:R41" si="0">IFERROR(Q7/$Q$42*100,0)</f>
        <v>2.4599307526234346</v>
      </c>
      <c r="S7" s="101" t="b">
        <f>D7=Q7</f>
        <v>1</v>
      </c>
      <c r="T7" s="40"/>
    </row>
    <row r="8" spans="1:28" ht="56.1" customHeight="1" x14ac:dyDescent="0.3">
      <c r="A8" s="31" t="str">
        <f>'Quadro Geral'!A9</f>
        <v>Direção Geral</v>
      </c>
      <c r="B8" s="31" t="str">
        <f>'Quadro Geral'!B9</f>
        <v>A</v>
      </c>
      <c r="C8" s="32" t="str">
        <f>'Quadro Geral'!D9</f>
        <v>Manutenção Institucional</v>
      </c>
      <c r="D8" s="33">
        <f>'Quadro Geral'!L9</f>
        <v>1316862.75</v>
      </c>
      <c r="E8" s="103"/>
      <c r="F8" s="34">
        <v>309178.39</v>
      </c>
      <c r="G8" s="34">
        <v>10000</v>
      </c>
      <c r="H8" s="34">
        <v>87940</v>
      </c>
      <c r="I8" s="34"/>
      <c r="J8" s="34"/>
      <c r="K8" s="34">
        <v>817744.36</v>
      </c>
      <c r="L8" s="34"/>
      <c r="M8" s="34"/>
      <c r="N8" s="34">
        <v>92000</v>
      </c>
      <c r="O8" s="35">
        <f t="shared" ref="O8:O41" si="1">SUM(F8:N8)</f>
        <v>1316862.75</v>
      </c>
      <c r="P8" s="34"/>
      <c r="Q8" s="35">
        <f t="shared" ref="Q8:Q41" si="2">O8+P8</f>
        <v>1316862.75</v>
      </c>
      <c r="R8" s="36">
        <f t="shared" si="0"/>
        <v>11.412042311649323</v>
      </c>
      <c r="S8" s="101" t="b">
        <f t="shared" ref="S8:S42" si="3">D8=Q8</f>
        <v>1</v>
      </c>
      <c r="T8" s="40"/>
    </row>
    <row r="9" spans="1:28" ht="56.1" customHeight="1" x14ac:dyDescent="0.3">
      <c r="A9" s="31" t="str">
        <f>'Quadro Geral'!A10</f>
        <v>Gerência Técnica</v>
      </c>
      <c r="B9" s="31" t="str">
        <f>'Quadro Geral'!B10</f>
        <v>A</v>
      </c>
      <c r="C9" s="32" t="str">
        <f>'Quadro Geral'!D10</f>
        <v>Orientação, esclarecimento e atendimento de demandas de profissionais e empresas</v>
      </c>
      <c r="D9" s="33">
        <f>'Quadro Geral'!L10</f>
        <v>245824.94</v>
      </c>
      <c r="E9" s="103"/>
      <c r="F9" s="34">
        <v>229958.94</v>
      </c>
      <c r="G9" s="34">
        <v>10000</v>
      </c>
      <c r="H9" s="34"/>
      <c r="I9" s="34"/>
      <c r="J9" s="34"/>
      <c r="K9" s="34">
        <v>5866</v>
      </c>
      <c r="L9" s="34"/>
      <c r="M9" s="34"/>
      <c r="N9" s="34"/>
      <c r="O9" s="35">
        <f t="shared" si="1"/>
        <v>245824.94</v>
      </c>
      <c r="P9" s="34"/>
      <c r="Q9" s="22">
        <f t="shared" si="2"/>
        <v>245824.94</v>
      </c>
      <c r="R9" s="36">
        <f t="shared" si="0"/>
        <v>2.1303394120143926</v>
      </c>
      <c r="S9" s="101" t="b">
        <f t="shared" si="3"/>
        <v>1</v>
      </c>
      <c r="T9" s="40"/>
    </row>
    <row r="10" spans="1:28" ht="56.1" customHeight="1" x14ac:dyDescent="0.3">
      <c r="A10" s="31" t="str">
        <f>'Quadro Geral'!A11</f>
        <v>Gerência de Operações</v>
      </c>
      <c r="B10" s="31" t="str">
        <f>'Quadro Geral'!B11</f>
        <v>A</v>
      </c>
      <c r="C10" s="32" t="str">
        <f>'Quadro Geral'!D11</f>
        <v>Operacionalização dos processos éticos e de multa/fiscalização</v>
      </c>
      <c r="D10" s="33">
        <f>'Quadro Geral'!L11</f>
        <v>140828.34</v>
      </c>
      <c r="E10" s="103"/>
      <c r="F10" s="34">
        <v>124962.34</v>
      </c>
      <c r="G10" s="34">
        <v>10000</v>
      </c>
      <c r="H10" s="34"/>
      <c r="I10" s="34"/>
      <c r="J10" s="34"/>
      <c r="K10" s="34">
        <v>5866</v>
      </c>
      <c r="L10" s="34"/>
      <c r="M10" s="34"/>
      <c r="N10" s="34"/>
      <c r="O10" s="35">
        <f t="shared" si="1"/>
        <v>140828.34</v>
      </c>
      <c r="P10" s="34"/>
      <c r="Q10" s="35">
        <f t="shared" si="2"/>
        <v>140828.34</v>
      </c>
      <c r="R10" s="36">
        <f t="shared" si="0"/>
        <v>1.2204301281658523</v>
      </c>
      <c r="S10" s="101" t="b">
        <f t="shared" si="3"/>
        <v>1</v>
      </c>
      <c r="T10" s="40"/>
    </row>
    <row r="11" spans="1:28" ht="56.1" customHeight="1" x14ac:dyDescent="0.3">
      <c r="A11" s="31" t="str">
        <f>'Quadro Geral'!A12</f>
        <v>Gerência Financeira</v>
      </c>
      <c r="B11" s="31" t="str">
        <f>'Quadro Geral'!B12</f>
        <v>A</v>
      </c>
      <c r="C11" s="32" t="str">
        <f>'Quadro Geral'!D12</f>
        <v>Manutenção Financeira</v>
      </c>
      <c r="D11" s="33">
        <f>'Quadro Geral'!L12</f>
        <v>437377.88</v>
      </c>
      <c r="E11" s="103"/>
      <c r="F11" s="34">
        <v>306327.59999999998</v>
      </c>
      <c r="G11" s="34">
        <v>10000</v>
      </c>
      <c r="H11" s="34"/>
      <c r="I11" s="34"/>
      <c r="J11" s="34"/>
      <c r="K11" s="34">
        <f>88690.62+30000+359.66</f>
        <v>119050.28</v>
      </c>
      <c r="L11" s="34"/>
      <c r="M11" s="34"/>
      <c r="N11" s="34">
        <v>2000</v>
      </c>
      <c r="O11" s="35">
        <f t="shared" si="1"/>
        <v>437377.88</v>
      </c>
      <c r="P11" s="34"/>
      <c r="Q11" s="35">
        <f t="shared" si="2"/>
        <v>437377.88</v>
      </c>
      <c r="R11" s="36">
        <f t="shared" si="0"/>
        <v>3.7903531501209828</v>
      </c>
      <c r="S11" s="101" t="b">
        <f t="shared" si="3"/>
        <v>1</v>
      </c>
      <c r="T11" s="40"/>
    </row>
    <row r="12" spans="1:28" ht="56.1" customHeight="1" x14ac:dyDescent="0.3">
      <c r="A12" s="31" t="str">
        <f>'Quadro Geral'!A13</f>
        <v>Assessoria Jurídica</v>
      </c>
      <c r="B12" s="31" t="str">
        <f>'Quadro Geral'!B13</f>
        <v>A</v>
      </c>
      <c r="C12" s="32" t="str">
        <f>'Quadro Geral'!D13</f>
        <v>Consultoria e Assessoria Jurídica</v>
      </c>
      <c r="D12" s="33">
        <f>'Quadro Geral'!L13</f>
        <v>261015.67999999999</v>
      </c>
      <c r="E12" s="103"/>
      <c r="F12" s="34">
        <v>239777.68</v>
      </c>
      <c r="G12" s="34">
        <v>10000</v>
      </c>
      <c r="H12" s="34"/>
      <c r="I12" s="34"/>
      <c r="J12" s="34"/>
      <c r="K12" s="34">
        <v>6238</v>
      </c>
      <c r="L12" s="34"/>
      <c r="M12" s="34"/>
      <c r="N12" s="34">
        <v>5000</v>
      </c>
      <c r="O12" s="35">
        <f t="shared" si="1"/>
        <v>261015.67999999999</v>
      </c>
      <c r="P12" s="34"/>
      <c r="Q12" s="35">
        <f t="shared" si="2"/>
        <v>261015.67999999999</v>
      </c>
      <c r="R12" s="36">
        <f t="shared" si="0"/>
        <v>2.2619836305369865</v>
      </c>
      <c r="S12" s="101" t="b">
        <f t="shared" si="3"/>
        <v>1</v>
      </c>
      <c r="T12" s="40"/>
    </row>
    <row r="13" spans="1:28" ht="56.1" customHeight="1" x14ac:dyDescent="0.3">
      <c r="A13" s="31" t="str">
        <f>'Quadro Geral'!A14</f>
        <v>Comissão de Ética</v>
      </c>
      <c r="B13" s="31" t="str">
        <f>'Quadro Geral'!B14</f>
        <v>A</v>
      </c>
      <c r="C13" s="32" t="str">
        <f>'Quadro Geral'!D14</f>
        <v>Operacionalização e processamento dos  processos éticos</v>
      </c>
      <c r="D13" s="33">
        <f>'Quadro Geral'!L14</f>
        <v>229463.62</v>
      </c>
      <c r="E13" s="103"/>
      <c r="F13" s="34">
        <v>87463.62</v>
      </c>
      <c r="G13" s="34">
        <v>10000</v>
      </c>
      <c r="H13" s="34"/>
      <c r="I13" s="34">
        <f>34000+12000+5000</f>
        <v>51000</v>
      </c>
      <c r="J13" s="34">
        <f>34000+12000+10000</f>
        <v>56000</v>
      </c>
      <c r="K13" s="34">
        <v>25000</v>
      </c>
      <c r="L13" s="34"/>
      <c r="M13" s="34"/>
      <c r="N13" s="34"/>
      <c r="O13" s="35">
        <f t="shared" si="1"/>
        <v>229463.62</v>
      </c>
      <c r="P13" s="34"/>
      <c r="Q13" s="35">
        <f t="shared" si="2"/>
        <v>229463.62</v>
      </c>
      <c r="R13" s="36">
        <f t="shared" si="0"/>
        <v>1.9885508496798332</v>
      </c>
      <c r="S13" s="101" t="b">
        <f t="shared" si="3"/>
        <v>1</v>
      </c>
      <c r="T13" s="40"/>
    </row>
    <row r="14" spans="1:28" ht="56.1" customHeight="1" x14ac:dyDescent="0.3">
      <c r="A14" s="31" t="str">
        <f>'Quadro Geral'!A15</f>
        <v>Comissão de Atos Administrativos</v>
      </c>
      <c r="B14" s="31" t="str">
        <f>'Quadro Geral'!B15</f>
        <v>A</v>
      </c>
      <c r="C14" s="32" t="str">
        <f>'Quadro Geral'!D15</f>
        <v>Assessoramento organizacional-institucional</v>
      </c>
      <c r="D14" s="33">
        <f>'Quadro Geral'!L15</f>
        <v>75000</v>
      </c>
      <c r="E14" s="103"/>
      <c r="F14" s="34"/>
      <c r="G14" s="34"/>
      <c r="H14" s="34"/>
      <c r="I14" s="34">
        <f>10000+7500+5000</f>
        <v>22500</v>
      </c>
      <c r="J14" s="34">
        <f>10000+7500+10000</f>
        <v>27500</v>
      </c>
      <c r="K14" s="34">
        <v>25000</v>
      </c>
      <c r="L14" s="34"/>
      <c r="M14" s="34"/>
      <c r="N14" s="34"/>
      <c r="O14" s="35">
        <f t="shared" si="1"/>
        <v>75000</v>
      </c>
      <c r="P14" s="34"/>
      <c r="Q14" s="35">
        <f t="shared" si="2"/>
        <v>75000</v>
      </c>
      <c r="R14" s="36">
        <f t="shared" si="0"/>
        <v>0.64995624895130433</v>
      </c>
      <c r="S14" s="101" t="b">
        <f t="shared" si="3"/>
        <v>1</v>
      </c>
      <c r="T14" s="40"/>
    </row>
    <row r="15" spans="1:28" ht="56.1" customHeight="1" x14ac:dyDescent="0.3">
      <c r="A15" s="31" t="str">
        <f>'Quadro Geral'!A16</f>
        <v>Comissão de Exercício Profissional e Fiscalização</v>
      </c>
      <c r="B15" s="31" t="str">
        <f>'Quadro Geral'!B16</f>
        <v>A</v>
      </c>
      <c r="C15" s="32" t="str">
        <f>'Quadro Geral'!D16</f>
        <v>Operacionalização da Fiscalização e fomento da valorização profissional</v>
      </c>
      <c r="D15" s="33">
        <f>'Quadro Geral'!L16</f>
        <v>90000</v>
      </c>
      <c r="E15" s="103"/>
      <c r="F15" s="34"/>
      <c r="G15" s="34"/>
      <c r="H15" s="34"/>
      <c r="I15" s="34">
        <f>20000+7500+5000</f>
        <v>32500</v>
      </c>
      <c r="J15" s="34">
        <f>15000+7500+10000</f>
        <v>32500</v>
      </c>
      <c r="K15" s="34">
        <v>25000</v>
      </c>
      <c r="L15" s="34"/>
      <c r="M15" s="34"/>
      <c r="N15" s="34"/>
      <c r="O15" s="35">
        <f t="shared" si="1"/>
        <v>90000</v>
      </c>
      <c r="P15" s="34"/>
      <c r="Q15" s="35">
        <f t="shared" si="2"/>
        <v>90000</v>
      </c>
      <c r="R15" s="36">
        <f t="shared" si="0"/>
        <v>0.77994749874156521</v>
      </c>
      <c r="S15" s="101" t="b">
        <f t="shared" si="3"/>
        <v>1</v>
      </c>
      <c r="T15" s="40"/>
    </row>
    <row r="16" spans="1:28" ht="56.1" customHeight="1" x14ac:dyDescent="0.3">
      <c r="A16" s="31" t="str">
        <f>'Quadro Geral'!A17</f>
        <v>Comissão de Planejamento e Finanças</v>
      </c>
      <c r="B16" s="31" t="str">
        <f>'Quadro Geral'!B17</f>
        <v>A</v>
      </c>
      <c r="C16" s="32" t="str">
        <f>'Quadro Geral'!D17</f>
        <v>Operacionalização, Planejamento e Controle do CAU</v>
      </c>
      <c r="D16" s="33">
        <f>'Quadro Geral'!L17</f>
        <v>75000</v>
      </c>
      <c r="E16" s="103"/>
      <c r="F16" s="34"/>
      <c r="G16" s="34"/>
      <c r="H16" s="34"/>
      <c r="I16" s="34">
        <f>10000+7500+5000</f>
        <v>22500</v>
      </c>
      <c r="J16" s="34">
        <f>10000+7500+10000</f>
        <v>27500</v>
      </c>
      <c r="K16" s="34">
        <v>25000</v>
      </c>
      <c r="L16" s="34"/>
      <c r="M16" s="34"/>
      <c r="N16" s="34"/>
      <c r="O16" s="35">
        <f t="shared" si="1"/>
        <v>75000</v>
      </c>
      <c r="P16" s="34"/>
      <c r="Q16" s="35">
        <f t="shared" si="2"/>
        <v>75000</v>
      </c>
      <c r="R16" s="36">
        <f t="shared" si="0"/>
        <v>0.64995624895130433</v>
      </c>
      <c r="S16" s="101" t="b">
        <f t="shared" si="3"/>
        <v>1</v>
      </c>
      <c r="T16" s="40"/>
    </row>
    <row r="17" spans="1:20" ht="56.1" customHeight="1" x14ac:dyDescent="0.3">
      <c r="A17" s="31" t="str">
        <f>'Quadro Geral'!A18</f>
        <v>Comissão de Ensino</v>
      </c>
      <c r="B17" s="31" t="str">
        <f>'Quadro Geral'!B18</f>
        <v>A</v>
      </c>
      <c r="C17" s="32" t="str">
        <f>'Quadro Geral'!D18</f>
        <v>Fomento ao aperfeiçoamento e à formação profissional</v>
      </c>
      <c r="D17" s="33">
        <f>'Quadro Geral'!L18</f>
        <v>80000</v>
      </c>
      <c r="E17" s="103"/>
      <c r="F17" s="34"/>
      <c r="G17" s="34"/>
      <c r="H17" s="34"/>
      <c r="I17" s="34">
        <f>15000+7500+5000</f>
        <v>27500</v>
      </c>
      <c r="J17" s="34">
        <f>10000+7500+10000</f>
        <v>27500</v>
      </c>
      <c r="K17" s="34">
        <v>25000</v>
      </c>
      <c r="L17" s="34"/>
      <c r="M17" s="34"/>
      <c r="N17" s="34"/>
      <c r="O17" s="35">
        <f t="shared" si="1"/>
        <v>80000</v>
      </c>
      <c r="P17" s="34"/>
      <c r="Q17" s="35">
        <f t="shared" si="2"/>
        <v>80000</v>
      </c>
      <c r="R17" s="36">
        <f t="shared" si="0"/>
        <v>0.69328666554805796</v>
      </c>
      <c r="S17" s="101" t="b">
        <f t="shared" si="3"/>
        <v>1</v>
      </c>
      <c r="T17" s="40"/>
    </row>
    <row r="18" spans="1:20" ht="56.1" customHeight="1" x14ac:dyDescent="0.3">
      <c r="A18" s="31" t="str">
        <f>'Quadro Geral'!A19</f>
        <v>Comissão Especial de Política Profissional e Política Urbana</v>
      </c>
      <c r="B18" s="31" t="str">
        <f>'Quadro Geral'!B19</f>
        <v>A</v>
      </c>
      <c r="C18" s="32" t="str">
        <f>'Quadro Geral'!D19</f>
        <v>Fomento a ações que buscam promover melhorias da prática profissional e política urbana</v>
      </c>
      <c r="D18" s="33">
        <f>'Quadro Geral'!L19</f>
        <v>40000</v>
      </c>
      <c r="E18" s="103"/>
      <c r="F18" s="34"/>
      <c r="G18" s="34"/>
      <c r="H18" s="34"/>
      <c r="I18" s="178">
        <f>5000+5000</f>
        <v>10000</v>
      </c>
      <c r="J18" s="178">
        <f>5000+5000</f>
        <v>10000</v>
      </c>
      <c r="K18" s="178">
        <v>20000</v>
      </c>
      <c r="L18" s="34"/>
      <c r="M18" s="34"/>
      <c r="N18" s="34"/>
      <c r="O18" s="35">
        <f t="shared" si="1"/>
        <v>40000</v>
      </c>
      <c r="P18" s="34"/>
      <c r="Q18" s="35">
        <f t="shared" si="2"/>
        <v>40000</v>
      </c>
      <c r="R18" s="36">
        <f t="shared" si="0"/>
        <v>0.34664333277402898</v>
      </c>
      <c r="S18" s="101" t="b">
        <f t="shared" si="3"/>
        <v>1</v>
      </c>
      <c r="T18" s="40"/>
    </row>
    <row r="19" spans="1:20" ht="56.1" customHeight="1" x14ac:dyDescent="0.3">
      <c r="A19" s="31" t="str">
        <f>'Quadro Geral'!A20</f>
        <v>Comissão Especial Política Urbana</v>
      </c>
      <c r="B19" s="31" t="str">
        <f>'Quadro Geral'!B20</f>
        <v>A</v>
      </c>
      <c r="C19" s="32" t="str">
        <f>'Quadro Geral'!D20</f>
        <v>Fomento a ações que buscam promover melhorias da política urbana estadual</v>
      </c>
      <c r="D19" s="33">
        <f>'Quadro Geral'!L20</f>
        <v>0</v>
      </c>
      <c r="E19" s="103"/>
      <c r="F19" s="34"/>
      <c r="G19" s="34"/>
      <c r="H19" s="34"/>
      <c r="I19" s="178"/>
      <c r="J19" s="178"/>
      <c r="K19" s="34"/>
      <c r="L19" s="34"/>
      <c r="M19" s="34"/>
      <c r="N19" s="34"/>
      <c r="O19" s="35">
        <f t="shared" si="1"/>
        <v>0</v>
      </c>
      <c r="P19" s="34"/>
      <c r="Q19" s="35">
        <f t="shared" si="2"/>
        <v>0</v>
      </c>
      <c r="R19" s="36">
        <f t="shared" si="0"/>
        <v>0</v>
      </c>
      <c r="S19" s="101" t="b">
        <f t="shared" si="3"/>
        <v>1</v>
      </c>
      <c r="T19" s="40"/>
    </row>
    <row r="20" spans="1:20" ht="56.1" customHeight="1" x14ac:dyDescent="0.3">
      <c r="A20" s="31" t="str">
        <f>'Quadro Geral'!A21</f>
        <v>Plenária</v>
      </c>
      <c r="B20" s="31" t="str">
        <f>'Quadro Geral'!B21</f>
        <v>A</v>
      </c>
      <c r="C20" s="32" t="str">
        <f>'Quadro Geral'!D21</f>
        <v>Operacionalização das reuniões institucionais regimentais</v>
      </c>
      <c r="D20" s="33">
        <f>'Quadro Geral'!L21</f>
        <v>181549.92</v>
      </c>
      <c r="E20" s="103"/>
      <c r="F20" s="34">
        <v>66549.919999999998</v>
      </c>
      <c r="G20" s="34"/>
      <c r="H20" s="34"/>
      <c r="I20" s="34">
        <f>40000+13000+20000</f>
        <v>73000</v>
      </c>
      <c r="J20" s="34">
        <f>29000+13000</f>
        <v>42000</v>
      </c>
      <c r="K20" s="34"/>
      <c r="L20" s="34"/>
      <c r="M20" s="34"/>
      <c r="N20" s="34"/>
      <c r="O20" s="35">
        <f t="shared" si="1"/>
        <v>181549.91999999998</v>
      </c>
      <c r="P20" s="34"/>
      <c r="Q20" s="35">
        <f t="shared" si="2"/>
        <v>181549.91999999998</v>
      </c>
      <c r="R20" s="36">
        <f t="shared" si="0"/>
        <v>1.5733267333414582</v>
      </c>
      <c r="S20" s="101" t="b">
        <f t="shared" si="3"/>
        <v>1</v>
      </c>
      <c r="T20" s="40"/>
    </row>
    <row r="21" spans="1:20" ht="56.1" customHeight="1" x14ac:dyDescent="0.3">
      <c r="A21" s="31" t="str">
        <f>'Quadro Geral'!A22</f>
        <v>Plenária</v>
      </c>
      <c r="B21" s="31" t="str">
        <f>'Quadro Geral'!B22</f>
        <v>P</v>
      </c>
      <c r="C21" s="32" t="str">
        <f>'Quadro Geral'!D22</f>
        <v>Semana do Arquiteto</v>
      </c>
      <c r="D21" s="33">
        <f>'Quadro Geral'!L22</f>
        <v>100000</v>
      </c>
      <c r="E21" s="103"/>
      <c r="F21" s="34"/>
      <c r="G21" s="34"/>
      <c r="H21" s="34"/>
      <c r="I21" s="34"/>
      <c r="J21" s="34"/>
      <c r="K21" s="34">
        <v>100000</v>
      </c>
      <c r="L21" s="34"/>
      <c r="M21" s="34"/>
      <c r="N21" s="34"/>
      <c r="O21" s="35">
        <f t="shared" si="1"/>
        <v>100000</v>
      </c>
      <c r="P21" s="34"/>
      <c r="Q21" s="35">
        <f t="shared" si="2"/>
        <v>100000</v>
      </c>
      <c r="R21" s="36">
        <f t="shared" si="0"/>
        <v>0.86660833193507247</v>
      </c>
      <c r="S21" s="101" t="b">
        <f t="shared" si="3"/>
        <v>1</v>
      </c>
      <c r="T21" s="40"/>
    </row>
    <row r="22" spans="1:20" ht="56.1" customHeight="1" x14ac:dyDescent="0.3">
      <c r="A22" s="31" t="str">
        <f>'Quadro Geral'!A23</f>
        <v>Direção Geral</v>
      </c>
      <c r="B22" s="31" t="str">
        <f>'Quadro Geral'!B23</f>
        <v>A</v>
      </c>
      <c r="C22" s="32" t="str">
        <f>'Quadro Geral'!D23</f>
        <v>APC - Aperfeiçoamento Profissional Continuado</v>
      </c>
      <c r="D22" s="33">
        <f>'Quadro Geral'!L23</f>
        <v>0</v>
      </c>
      <c r="E22" s="103"/>
      <c r="F22" s="34"/>
      <c r="G22" s="34"/>
      <c r="H22" s="34"/>
      <c r="I22" s="34"/>
      <c r="J22" s="34"/>
      <c r="K22" s="34"/>
      <c r="L22" s="34"/>
      <c r="M22" s="34"/>
      <c r="N22" s="34"/>
      <c r="O22" s="35">
        <f t="shared" si="1"/>
        <v>0</v>
      </c>
      <c r="P22" s="34"/>
      <c r="Q22" s="35">
        <f t="shared" si="2"/>
        <v>0</v>
      </c>
      <c r="R22" s="36">
        <f t="shared" si="0"/>
        <v>0</v>
      </c>
      <c r="S22" s="101" t="b">
        <f t="shared" si="3"/>
        <v>1</v>
      </c>
      <c r="T22" s="40"/>
    </row>
    <row r="23" spans="1:20" ht="56.1" customHeight="1" x14ac:dyDescent="0.3">
      <c r="A23" s="31" t="str">
        <f>'Quadro Geral'!A24</f>
        <v>Plenária</v>
      </c>
      <c r="B23" s="31" t="str">
        <f>'Quadro Geral'!B24</f>
        <v>P</v>
      </c>
      <c r="C23" s="32" t="str">
        <f>'Quadro Geral'!D24</f>
        <v>Patrocínio</v>
      </c>
      <c r="D23" s="33">
        <f>'Quadro Geral'!L24</f>
        <v>100000</v>
      </c>
      <c r="E23" s="103"/>
      <c r="F23" s="34"/>
      <c r="G23" s="34"/>
      <c r="H23" s="34"/>
      <c r="I23" s="34"/>
      <c r="J23" s="34"/>
      <c r="K23" s="34"/>
      <c r="L23" s="34">
        <v>100000</v>
      </c>
      <c r="M23" s="34"/>
      <c r="N23" s="34"/>
      <c r="O23" s="35">
        <f t="shared" si="1"/>
        <v>100000</v>
      </c>
      <c r="P23" s="34"/>
      <c r="Q23" s="35">
        <f t="shared" si="2"/>
        <v>100000</v>
      </c>
      <c r="R23" s="36">
        <f t="shared" si="0"/>
        <v>0.86660833193507247</v>
      </c>
      <c r="S23" s="101" t="b">
        <f t="shared" si="3"/>
        <v>1</v>
      </c>
      <c r="T23" s="40"/>
    </row>
    <row r="24" spans="1:20" ht="56.1" customHeight="1" x14ac:dyDescent="0.3">
      <c r="A24" s="31" t="str">
        <f>'Quadro Geral'!A25</f>
        <v>Gerência  Financeira</v>
      </c>
      <c r="B24" s="31" t="str">
        <f>'Quadro Geral'!B25</f>
        <v>A</v>
      </c>
      <c r="C24" s="32" t="str">
        <f>'Quadro Geral'!D25</f>
        <v>Aporte ao Fundo de Apoio</v>
      </c>
      <c r="D24" s="33">
        <f>'Quadro Geral'!L25</f>
        <v>63933.476996403595</v>
      </c>
      <c r="E24" s="103"/>
      <c r="F24" s="34"/>
      <c r="G24" s="34"/>
      <c r="H24" s="34"/>
      <c r="I24" s="34"/>
      <c r="J24" s="34"/>
      <c r="K24" s="34"/>
      <c r="L24" s="285">
        <v>63933.476996403595</v>
      </c>
      <c r="M24" s="180"/>
      <c r="N24" s="34"/>
      <c r="O24" s="35">
        <f t="shared" si="1"/>
        <v>63933.476996403595</v>
      </c>
      <c r="P24" s="34"/>
      <c r="Q24" s="35">
        <f t="shared" si="2"/>
        <v>63933.476996403595</v>
      </c>
      <c r="R24" s="36">
        <f t="shared" si="0"/>
        <v>0.55405283854662646</v>
      </c>
      <c r="S24" s="101" t="b">
        <f t="shared" si="3"/>
        <v>1</v>
      </c>
      <c r="T24" s="40"/>
    </row>
    <row r="25" spans="1:20" ht="56.1" customHeight="1" x14ac:dyDescent="0.3">
      <c r="A25" s="31" t="str">
        <f>'Quadro Geral'!A26</f>
        <v>Assessoria de Comunicação</v>
      </c>
      <c r="B25" s="31" t="str">
        <f>'Quadro Geral'!B26</f>
        <v>A</v>
      </c>
      <c r="C25" s="32" t="str">
        <f>'Quadro Geral'!D26</f>
        <v>Comunicação Institucional</v>
      </c>
      <c r="D25" s="33">
        <f>'Quadro Geral'!L26</f>
        <v>434028.18</v>
      </c>
      <c r="E25" s="103"/>
      <c r="F25" s="34">
        <v>196528.18</v>
      </c>
      <c r="G25" s="34">
        <v>10000</v>
      </c>
      <c r="H25" s="34"/>
      <c r="I25" s="34"/>
      <c r="J25" s="34"/>
      <c r="K25" s="34">
        <v>227500</v>
      </c>
      <c r="L25" s="34"/>
      <c r="M25" s="34"/>
      <c r="N25" s="34"/>
      <c r="O25" s="35">
        <f t="shared" si="1"/>
        <v>434028.18</v>
      </c>
      <c r="P25" s="34"/>
      <c r="Q25" s="35">
        <f t="shared" si="2"/>
        <v>434028.18</v>
      </c>
      <c r="R25" s="36">
        <f t="shared" si="0"/>
        <v>3.7613243708261539</v>
      </c>
      <c r="S25" s="101" t="b">
        <f t="shared" si="3"/>
        <v>1</v>
      </c>
      <c r="T25" s="40"/>
    </row>
    <row r="26" spans="1:20" ht="56.1" customHeight="1" x14ac:dyDescent="0.3">
      <c r="A26" s="31" t="str">
        <f>'Quadro Geral'!A27</f>
        <v>Direção Geral</v>
      </c>
      <c r="B26" s="31" t="str">
        <f>'Quadro Geral'!B27</f>
        <v>A</v>
      </c>
      <c r="C26" s="32" t="str">
        <f>'Quadro Geral'!D27</f>
        <v>Programa de Capacitação dos Colaboradores</v>
      </c>
      <c r="D26" s="33">
        <f>'Quadro Geral'!L27</f>
        <v>80000</v>
      </c>
      <c r="E26" s="103"/>
      <c r="F26" s="34"/>
      <c r="G26" s="34"/>
      <c r="H26" s="34"/>
      <c r="I26" s="34"/>
      <c r="J26" s="34"/>
      <c r="K26" s="34">
        <v>80000</v>
      </c>
      <c r="L26" s="34"/>
      <c r="M26" s="34"/>
      <c r="N26" s="34"/>
      <c r="O26" s="35">
        <f t="shared" si="1"/>
        <v>80000</v>
      </c>
      <c r="P26" s="34"/>
      <c r="Q26" s="35">
        <f t="shared" si="2"/>
        <v>80000</v>
      </c>
      <c r="R26" s="36">
        <f t="shared" si="0"/>
        <v>0.69328666554805796</v>
      </c>
      <c r="S26" s="101" t="b">
        <f t="shared" si="3"/>
        <v>1</v>
      </c>
      <c r="T26" s="40"/>
    </row>
    <row r="27" spans="1:20" ht="56.1" customHeight="1" x14ac:dyDescent="0.3">
      <c r="A27" s="31" t="str">
        <f>'Quadro Geral'!A28</f>
        <v>Plenária</v>
      </c>
      <c r="B27" s="31" t="str">
        <f>'Quadro Geral'!B28</f>
        <v>P</v>
      </c>
      <c r="C27" s="32" t="str">
        <f>'Quadro Geral'!D28</f>
        <v>Programa de Assistência Técnica</v>
      </c>
      <c r="D27" s="33">
        <f>'Quadro Geral'!L28</f>
        <v>268400</v>
      </c>
      <c r="E27" s="103"/>
      <c r="F27" s="34"/>
      <c r="G27" s="34"/>
      <c r="H27" s="34"/>
      <c r="I27" s="34"/>
      <c r="J27" s="34"/>
      <c r="K27" s="34">
        <v>268400</v>
      </c>
      <c r="L27" s="34"/>
      <c r="M27" s="34"/>
      <c r="N27" s="34"/>
      <c r="O27" s="35">
        <f t="shared" si="1"/>
        <v>268400</v>
      </c>
      <c r="P27" s="34"/>
      <c r="Q27" s="35">
        <f t="shared" si="2"/>
        <v>268400</v>
      </c>
      <c r="R27" s="36">
        <f t="shared" si="0"/>
        <v>2.3259767629137342</v>
      </c>
      <c r="S27" s="101" t="b">
        <f t="shared" si="3"/>
        <v>1</v>
      </c>
      <c r="T27" s="40"/>
    </row>
    <row r="28" spans="1:20" ht="56.1" customHeight="1" x14ac:dyDescent="0.3">
      <c r="A28" s="31" t="str">
        <f>'Quadro Geral'!A29</f>
        <v>Gerência de Atendimento</v>
      </c>
      <c r="B28" s="31" t="str">
        <f>'Quadro Geral'!B29</f>
        <v>A</v>
      </c>
      <c r="C28" s="32" t="str">
        <f>'Quadro Geral'!D29</f>
        <v>Atendimento da Sociedade e arquitetos e urbanistas</v>
      </c>
      <c r="D28" s="33">
        <f>'Quadro Geral'!L29</f>
        <v>362422.83</v>
      </c>
      <c r="E28" s="103"/>
      <c r="F28" s="34">
        <v>239777.68</v>
      </c>
      <c r="G28" s="34">
        <v>10000</v>
      </c>
      <c r="H28" s="34"/>
      <c r="I28" s="34"/>
      <c r="J28" s="34"/>
      <c r="K28" s="34">
        <v>112645.15</v>
      </c>
      <c r="L28" s="34"/>
      <c r="M28" s="34"/>
      <c r="N28" s="34"/>
      <c r="O28" s="35">
        <f t="shared" si="1"/>
        <v>362422.82999999996</v>
      </c>
      <c r="P28" s="34"/>
      <c r="Q28" s="35">
        <f t="shared" si="2"/>
        <v>362422.82999999996</v>
      </c>
      <c r="R28" s="36">
        <f t="shared" si="0"/>
        <v>3.1407864416148832</v>
      </c>
      <c r="S28" s="101" t="b">
        <f t="shared" si="3"/>
        <v>1</v>
      </c>
      <c r="T28" s="40"/>
    </row>
    <row r="29" spans="1:20" ht="56.1" customHeight="1" x14ac:dyDescent="0.3">
      <c r="A29" s="31" t="str">
        <f>'Quadro Geral'!A30</f>
        <v>Plenária</v>
      </c>
      <c r="B29" s="31" t="str">
        <f>'Quadro Geral'!B30</f>
        <v>P</v>
      </c>
      <c r="C29" s="32" t="str">
        <f>'Quadro Geral'!D30</f>
        <v>Reforma sede CAU/BA</v>
      </c>
      <c r="D29" s="33">
        <f>'Quadro Geral'!L30</f>
        <v>800000</v>
      </c>
      <c r="E29" s="103"/>
      <c r="F29" s="34"/>
      <c r="G29" s="34"/>
      <c r="H29" s="34"/>
      <c r="I29" s="34"/>
      <c r="J29" s="34"/>
      <c r="K29" s="34"/>
      <c r="L29" s="34"/>
      <c r="M29" s="34"/>
      <c r="N29" s="34"/>
      <c r="O29" s="35">
        <f t="shared" si="1"/>
        <v>0</v>
      </c>
      <c r="P29" s="34">
        <v>800000</v>
      </c>
      <c r="Q29" s="35">
        <f t="shared" si="2"/>
        <v>800000</v>
      </c>
      <c r="R29" s="36">
        <f t="shared" si="0"/>
        <v>6.9328666554805798</v>
      </c>
      <c r="S29" s="101" t="b">
        <f t="shared" si="3"/>
        <v>1</v>
      </c>
      <c r="T29" s="40"/>
    </row>
    <row r="30" spans="1:20" ht="56.1" customHeight="1" x14ac:dyDescent="0.3">
      <c r="A30" s="31" t="str">
        <f>'Quadro Geral'!A31</f>
        <v>Plenária</v>
      </c>
      <c r="B30" s="31" t="str">
        <f>'Quadro Geral'!B31</f>
        <v>P</v>
      </c>
      <c r="C30" s="32" t="str">
        <f>'Quadro Geral'!D31</f>
        <v>Aquisição de Equipamentos</v>
      </c>
      <c r="D30" s="33">
        <f>'Quadro Geral'!L31</f>
        <v>640000</v>
      </c>
      <c r="E30" s="103"/>
      <c r="F30" s="34"/>
      <c r="G30" s="34"/>
      <c r="H30" s="34"/>
      <c r="I30" s="34"/>
      <c r="J30" s="34"/>
      <c r="K30" s="34"/>
      <c r="L30" s="34"/>
      <c r="M30" s="34"/>
      <c r="N30" s="34"/>
      <c r="O30" s="35">
        <f t="shared" si="1"/>
        <v>0</v>
      </c>
      <c r="P30" s="34">
        <v>640000</v>
      </c>
      <c r="Q30" s="35">
        <f t="shared" si="2"/>
        <v>640000</v>
      </c>
      <c r="R30" s="36">
        <f t="shared" si="0"/>
        <v>5.5462933243844637</v>
      </c>
      <c r="S30" s="101" t="b">
        <f t="shared" si="3"/>
        <v>1</v>
      </c>
      <c r="T30" s="40"/>
    </row>
    <row r="31" spans="1:20" ht="56.1" customHeight="1" x14ac:dyDescent="0.3">
      <c r="A31" s="31" t="str">
        <f>'Quadro Geral'!A32</f>
        <v>Gerência Financeira</v>
      </c>
      <c r="B31" s="31" t="str">
        <f>'Quadro Geral'!B32</f>
        <v>A</v>
      </c>
      <c r="C31" s="32" t="str">
        <f>'Quadro Geral'!D32</f>
        <v>CSC -Fiscalização</v>
      </c>
      <c r="D31" s="33">
        <f>'Quadro Geral'!L32</f>
        <v>334853.81</v>
      </c>
      <c r="E31" s="103"/>
      <c r="F31" s="34"/>
      <c r="G31" s="34"/>
      <c r="H31" s="34"/>
      <c r="I31" s="34"/>
      <c r="J31" s="34"/>
      <c r="K31" s="34"/>
      <c r="L31" s="169">
        <v>334853.81</v>
      </c>
      <c r="M31" s="34"/>
      <c r="N31" s="34"/>
      <c r="O31" s="35">
        <f t="shared" si="1"/>
        <v>334853.81</v>
      </c>
      <c r="P31" s="34"/>
      <c r="Q31" s="35">
        <f t="shared" si="2"/>
        <v>334853.81</v>
      </c>
      <c r="R31" s="36">
        <f t="shared" si="0"/>
        <v>2.901871017262037</v>
      </c>
      <c r="S31" s="101" t="b">
        <f t="shared" si="3"/>
        <v>1</v>
      </c>
      <c r="T31" s="40"/>
    </row>
    <row r="32" spans="1:20" ht="56.1" customHeight="1" x14ac:dyDescent="0.3">
      <c r="A32" s="31" t="str">
        <f>'Quadro Geral'!A33</f>
        <v>Gerência Financeira</v>
      </c>
      <c r="B32" s="31" t="str">
        <f>'Quadro Geral'!B33</f>
        <v>A</v>
      </c>
      <c r="C32" s="32" t="str">
        <f>'Quadro Geral'!D33</f>
        <v>CSC- Atendimento</v>
      </c>
      <c r="D32" s="33">
        <f>'Quadro Geral'!L33</f>
        <v>48792.739578978741</v>
      </c>
      <c r="E32" s="103"/>
      <c r="F32" s="34"/>
      <c r="G32" s="34"/>
      <c r="H32" s="34"/>
      <c r="I32" s="34"/>
      <c r="J32" s="34"/>
      <c r="K32" s="34"/>
      <c r="L32" s="169">
        <v>48792.739578978741</v>
      </c>
      <c r="M32" s="34"/>
      <c r="N32" s="34"/>
      <c r="O32" s="35">
        <f t="shared" si="1"/>
        <v>48792.739578978741</v>
      </c>
      <c r="P32" s="34"/>
      <c r="Q32" s="35">
        <f t="shared" si="2"/>
        <v>48792.739578978741</v>
      </c>
      <c r="R32" s="36">
        <f t="shared" si="0"/>
        <v>0.42284194657081153</v>
      </c>
      <c r="S32" s="101" t="b">
        <f t="shared" si="3"/>
        <v>1</v>
      </c>
      <c r="T32" s="40"/>
    </row>
    <row r="33" spans="1:20" ht="56.1" customHeight="1" x14ac:dyDescent="0.3">
      <c r="A33" s="31" t="str">
        <f>'Quadro Geral'!A34</f>
        <v>Gerência de Fiscalização</v>
      </c>
      <c r="B33" s="31" t="str">
        <f>'Quadro Geral'!B34</f>
        <v>A</v>
      </c>
      <c r="C33" s="32" t="str">
        <f>'Quadro Geral'!D34</f>
        <v>Plano de Fiscalização</v>
      </c>
      <c r="D33" s="33">
        <f>'Quadro Geral'!L34</f>
        <v>365783.14</v>
      </c>
      <c r="E33" s="103"/>
      <c r="F33" s="175">
        <v>307285.42</v>
      </c>
      <c r="G33" s="37">
        <v>10000</v>
      </c>
      <c r="H33" s="37"/>
      <c r="I33" s="37"/>
      <c r="J33" s="37"/>
      <c r="K33" s="175">
        <v>48497.72</v>
      </c>
      <c r="L33" s="37"/>
      <c r="M33" s="37"/>
      <c r="N33" s="37"/>
      <c r="O33" s="35">
        <f t="shared" si="1"/>
        <v>365783.14</v>
      </c>
      <c r="P33" s="37"/>
      <c r="Q33" s="35">
        <f t="shared" si="2"/>
        <v>365783.14</v>
      </c>
      <c r="R33" s="36">
        <f t="shared" si="0"/>
        <v>3.1699071680537307</v>
      </c>
      <c r="S33" s="101" t="b">
        <f t="shared" si="3"/>
        <v>1</v>
      </c>
      <c r="T33" s="40"/>
    </row>
    <row r="34" spans="1:20" ht="56.1" customHeight="1" x14ac:dyDescent="0.3">
      <c r="A34" s="31" t="str">
        <f>'Quadro Geral'!A35</f>
        <v>Plenária</v>
      </c>
      <c r="B34" s="31" t="str">
        <f>'Quadro Geral'!B35</f>
        <v>A</v>
      </c>
      <c r="C34" s="32" t="str">
        <f>'Quadro Geral'!D35</f>
        <v>Reserva de Contingência</v>
      </c>
      <c r="D34" s="33">
        <f>'Quadro Geral'!L35</f>
        <v>41000</v>
      </c>
      <c r="E34" s="103"/>
      <c r="F34" s="37"/>
      <c r="G34" s="37"/>
      <c r="H34" s="37"/>
      <c r="I34" s="37"/>
      <c r="J34" s="37"/>
      <c r="K34" s="37"/>
      <c r="L34" s="37"/>
      <c r="M34" s="37">
        <v>41000</v>
      </c>
      <c r="N34" s="37"/>
      <c r="O34" s="35">
        <f t="shared" si="1"/>
        <v>41000</v>
      </c>
      <c r="P34" s="37"/>
      <c r="Q34" s="35">
        <f t="shared" si="2"/>
        <v>41000</v>
      </c>
      <c r="R34" s="36">
        <f t="shared" si="0"/>
        <v>0.35530941609337968</v>
      </c>
      <c r="S34" s="101" t="b">
        <f t="shared" si="3"/>
        <v>1</v>
      </c>
      <c r="T34" s="40"/>
    </row>
    <row r="35" spans="1:20" ht="56.1" customHeight="1" x14ac:dyDescent="0.3">
      <c r="A35" s="31" t="str">
        <f>'Quadro Geral'!A36</f>
        <v>Presidência</v>
      </c>
      <c r="B35" s="31" t="str">
        <f>'Quadro Geral'!B36</f>
        <v>P</v>
      </c>
      <c r="C35" s="32" t="str">
        <f>'Quadro Geral'!D36</f>
        <v>Aquisição sede CAU/BA</v>
      </c>
      <c r="D35" s="33">
        <f>'Quadro Geral'!L36</f>
        <v>4000000</v>
      </c>
      <c r="E35" s="103"/>
      <c r="F35" s="37"/>
      <c r="G35" s="37"/>
      <c r="H35" s="37"/>
      <c r="I35" s="37"/>
      <c r="J35" s="37"/>
      <c r="K35" s="37"/>
      <c r="L35" s="37"/>
      <c r="M35" s="37"/>
      <c r="N35" s="37"/>
      <c r="O35" s="35">
        <f t="shared" si="1"/>
        <v>0</v>
      </c>
      <c r="P35" s="37">
        <v>4000000</v>
      </c>
      <c r="Q35" s="35">
        <f t="shared" si="2"/>
        <v>4000000</v>
      </c>
      <c r="R35" s="36">
        <f t="shared" si="0"/>
        <v>34.664333277402896</v>
      </c>
      <c r="S35" s="101" t="b">
        <f t="shared" si="3"/>
        <v>1</v>
      </c>
      <c r="T35" s="40"/>
    </row>
    <row r="36" spans="1:20" ht="56.1" customHeight="1" x14ac:dyDescent="0.3">
      <c r="A36" s="31" t="str">
        <f>'Quadro Geral'!A37</f>
        <v>Plenária</v>
      </c>
      <c r="B36" s="31" t="str">
        <f>'Quadro Geral'!B37</f>
        <v>P</v>
      </c>
      <c r="C36" s="32" t="str">
        <f>'Quadro Geral'!D37</f>
        <v>Concurso</v>
      </c>
      <c r="D36" s="33">
        <f>'Quadro Geral'!L37</f>
        <v>5000</v>
      </c>
      <c r="E36" s="103"/>
      <c r="F36" s="37"/>
      <c r="G36" s="37"/>
      <c r="H36" s="37"/>
      <c r="I36" s="37"/>
      <c r="J36" s="37"/>
      <c r="K36" s="37">
        <v>5000</v>
      </c>
      <c r="L36" s="37"/>
      <c r="M36" s="37"/>
      <c r="N36" s="37"/>
      <c r="O36" s="35">
        <f t="shared" si="1"/>
        <v>5000</v>
      </c>
      <c r="P36" s="37"/>
      <c r="Q36" s="35">
        <f t="shared" si="2"/>
        <v>5000</v>
      </c>
      <c r="R36" s="36">
        <f t="shared" si="0"/>
        <v>4.3330416596753622E-2</v>
      </c>
      <c r="S36" s="101" t="b">
        <f t="shared" si="3"/>
        <v>1</v>
      </c>
      <c r="T36" s="40"/>
    </row>
    <row r="37" spans="1:20" ht="56.1" customHeight="1" x14ac:dyDescent="0.3">
      <c r="A37" s="31" t="str">
        <f>'Quadro Geral'!A38</f>
        <v>Gerência Administrativa</v>
      </c>
      <c r="B37" s="31" t="str">
        <f>'Quadro Geral'!B38</f>
        <v>A</v>
      </c>
      <c r="C37" s="32" t="str">
        <f>'Quadro Geral'!D38</f>
        <v>Manutenção Administrativa</v>
      </c>
      <c r="D37" s="33">
        <f>'Quadro Geral'!L38</f>
        <v>373243.66000000003</v>
      </c>
      <c r="E37" s="103"/>
      <c r="F37" s="175">
        <v>239831.33</v>
      </c>
      <c r="G37" s="37">
        <v>10000</v>
      </c>
      <c r="H37" s="37"/>
      <c r="I37" s="37"/>
      <c r="J37" s="37"/>
      <c r="K37" s="175">
        <v>123412.33</v>
      </c>
      <c r="L37" s="37"/>
      <c r="M37" s="37"/>
      <c r="N37" s="37"/>
      <c r="O37" s="35">
        <f t="shared" si="1"/>
        <v>373243.66</v>
      </c>
      <c r="P37" s="37"/>
      <c r="Q37" s="35">
        <f t="shared" si="2"/>
        <v>373243.66</v>
      </c>
      <c r="R37" s="36">
        <f t="shared" si="0"/>
        <v>3.2345606559794127</v>
      </c>
      <c r="S37" s="101" t="b">
        <f t="shared" si="3"/>
        <v>1</v>
      </c>
      <c r="T37" s="40"/>
    </row>
    <row r="38" spans="1:20" ht="56.1" customHeight="1" x14ac:dyDescent="0.3">
      <c r="A38" s="31" t="str">
        <f>'Quadro Geral'!A39</f>
        <v>Plenário</v>
      </c>
      <c r="B38" s="31" t="str">
        <f>'Quadro Geral'!B39</f>
        <v>P</v>
      </c>
      <c r="C38" s="32" t="str">
        <f>'Quadro Geral'!D39</f>
        <v>Mudança sede Defiitiva</v>
      </c>
      <c r="D38" s="33">
        <f>'Quadro Geral'!L39</f>
        <v>0</v>
      </c>
      <c r="E38" s="103"/>
      <c r="F38" s="37"/>
      <c r="G38" s="37"/>
      <c r="H38" s="37"/>
      <c r="I38" s="37"/>
      <c r="J38" s="37"/>
      <c r="K38" s="37" t="s">
        <v>503</v>
      </c>
      <c r="L38" s="37"/>
      <c r="M38" s="37"/>
      <c r="N38" s="37"/>
      <c r="O38" s="35">
        <f t="shared" si="1"/>
        <v>0</v>
      </c>
      <c r="P38" s="37"/>
      <c r="Q38" s="35">
        <f t="shared" si="2"/>
        <v>0</v>
      </c>
      <c r="R38" s="36">
        <f t="shared" si="0"/>
        <v>0</v>
      </c>
      <c r="S38" s="101" t="b">
        <f t="shared" si="3"/>
        <v>1</v>
      </c>
      <c r="T38" s="40"/>
    </row>
    <row r="39" spans="1:20" ht="56.1" customHeight="1" x14ac:dyDescent="0.3">
      <c r="A39" s="31" t="str">
        <f>'Quadro Geral'!A40</f>
        <v>Plenário</v>
      </c>
      <c r="B39" s="31" t="str">
        <f>'Quadro Geral'!B40</f>
        <v>P</v>
      </c>
      <c r="C39" s="32" t="str">
        <f>'Quadro Geral'!D40</f>
        <v>Projeto Intercomissões</v>
      </c>
      <c r="D39" s="33">
        <f>'Quadro Geral'!L40</f>
        <v>50000</v>
      </c>
      <c r="E39" s="103"/>
      <c r="F39" s="37"/>
      <c r="G39" s="37"/>
      <c r="H39" s="37"/>
      <c r="I39" s="37"/>
      <c r="J39" s="37"/>
      <c r="K39" s="179">
        <v>50000</v>
      </c>
      <c r="L39" s="37"/>
      <c r="M39" s="37"/>
      <c r="N39" s="37"/>
      <c r="O39" s="35">
        <f t="shared" si="1"/>
        <v>50000</v>
      </c>
      <c r="P39" s="37"/>
      <c r="Q39" s="35">
        <f t="shared" si="2"/>
        <v>50000</v>
      </c>
      <c r="R39" s="36">
        <f t="shared" si="0"/>
        <v>0.43330416596753624</v>
      </c>
      <c r="S39" s="101" t="b">
        <f t="shared" si="3"/>
        <v>1</v>
      </c>
      <c r="T39" s="40"/>
    </row>
    <row r="40" spans="1:20" s="171" customFormat="1" ht="56.1" customHeight="1" x14ac:dyDescent="0.3">
      <c r="A40" s="31" t="str">
        <f>'Quadro Geral'!A41</f>
        <v>Presidência</v>
      </c>
      <c r="B40" s="31" t="str">
        <f>'Quadro Geral'!B41</f>
        <v>P</v>
      </c>
      <c r="C40" s="32" t="str">
        <f>'Quadro Geral'!D41</f>
        <v xml:space="preserve">Aquisição carro </v>
      </c>
      <c r="D40" s="33">
        <f>'Quadro Geral'!L41</f>
        <v>0</v>
      </c>
      <c r="E40" s="103"/>
      <c r="F40" s="37"/>
      <c r="G40" s="37"/>
      <c r="H40" s="37"/>
      <c r="I40" s="37"/>
      <c r="J40" s="37"/>
      <c r="K40" s="37"/>
      <c r="L40" s="37"/>
      <c r="M40" s="37"/>
      <c r="N40" s="37"/>
      <c r="O40" s="35">
        <f t="shared" si="1"/>
        <v>0</v>
      </c>
      <c r="P40" s="37"/>
      <c r="Q40" s="35">
        <f t="shared" si="2"/>
        <v>0</v>
      </c>
      <c r="R40" s="36">
        <f t="shared" si="0"/>
        <v>0</v>
      </c>
      <c r="S40" s="172" t="b">
        <f t="shared" si="3"/>
        <v>1</v>
      </c>
      <c r="T40" s="40"/>
    </row>
    <row r="41" spans="1:20" s="171" customFormat="1" ht="56.1" customHeight="1" x14ac:dyDescent="0.3">
      <c r="A41" s="31" t="str">
        <f>'Quadro Geral'!A42</f>
        <v>Presidência</v>
      </c>
      <c r="B41" s="31" t="str">
        <f>'Quadro Geral'!B42</f>
        <v>P</v>
      </c>
      <c r="C41" s="32" t="str">
        <f>'Quadro Geral'!D42</f>
        <v>Eleiçoes</v>
      </c>
      <c r="D41" s="33">
        <f>'Quadro Geral'!L42</f>
        <v>15000</v>
      </c>
      <c r="E41" s="103"/>
      <c r="F41" s="37"/>
      <c r="G41" s="37"/>
      <c r="H41" s="37"/>
      <c r="I41" s="37"/>
      <c r="J41" s="37"/>
      <c r="K41" s="175">
        <v>15000</v>
      </c>
      <c r="L41" s="37"/>
      <c r="M41" s="37"/>
      <c r="N41" s="37"/>
      <c r="O41" s="35">
        <f t="shared" si="1"/>
        <v>15000</v>
      </c>
      <c r="P41" s="37"/>
      <c r="Q41" s="35">
        <f t="shared" si="2"/>
        <v>15000</v>
      </c>
      <c r="R41" s="36">
        <f t="shared" si="0"/>
        <v>0.12999124979026089</v>
      </c>
      <c r="S41" s="172" t="b">
        <f t="shared" si="3"/>
        <v>1</v>
      </c>
      <c r="T41" s="40"/>
    </row>
    <row r="42" spans="1:20" s="41" customFormat="1" ht="56.1" customHeight="1" x14ac:dyDescent="0.3">
      <c r="A42" s="358" t="s">
        <v>52</v>
      </c>
      <c r="B42" s="358"/>
      <c r="C42" s="358"/>
      <c r="D42" s="38">
        <f>SUM(D7:D41)</f>
        <v>11539238.236575384</v>
      </c>
      <c r="E42" s="103"/>
      <c r="F42" s="39">
        <f t="shared" ref="F42:R42" si="4">SUM(F7:F41)</f>
        <v>2444498.3699999996</v>
      </c>
      <c r="G42" s="39">
        <f t="shared" si="4"/>
        <v>100000</v>
      </c>
      <c r="H42" s="39">
        <f t="shared" si="4"/>
        <v>87940</v>
      </c>
      <c r="I42" s="39">
        <f t="shared" si="4"/>
        <v>314000</v>
      </c>
      <c r="J42" s="39">
        <f t="shared" si="4"/>
        <v>278000</v>
      </c>
      <c r="K42" s="39">
        <f t="shared" si="4"/>
        <v>2187219.84</v>
      </c>
      <c r="L42" s="39">
        <f t="shared" si="4"/>
        <v>547580.02657538233</v>
      </c>
      <c r="M42" s="39">
        <f t="shared" si="4"/>
        <v>41000</v>
      </c>
      <c r="N42" s="39">
        <f t="shared" si="4"/>
        <v>99000</v>
      </c>
      <c r="O42" s="39">
        <f t="shared" si="4"/>
        <v>6099238.2365753828</v>
      </c>
      <c r="P42" s="39">
        <f t="shared" si="4"/>
        <v>5440000</v>
      </c>
      <c r="Q42" s="39">
        <f t="shared" si="4"/>
        <v>11539238.236575384</v>
      </c>
      <c r="R42" s="446">
        <f t="shared" si="4"/>
        <v>100</v>
      </c>
      <c r="S42" s="101" t="b">
        <f t="shared" si="3"/>
        <v>1</v>
      </c>
      <c r="T42" s="40"/>
    </row>
    <row r="43" spans="1:20" s="41" customFormat="1" ht="56.1" customHeight="1" x14ac:dyDescent="0.3">
      <c r="A43" s="358" t="s">
        <v>48</v>
      </c>
      <c r="B43" s="358"/>
      <c r="C43" s="358"/>
      <c r="D43" s="358"/>
      <c r="E43" s="103"/>
      <c r="F43" s="42">
        <f>IFERROR(F42/$Q42*100,0)</f>
        <v>21.184226548437032</v>
      </c>
      <c r="G43" s="42">
        <f t="shared" ref="G43:Q43" si="5">IFERROR(G42/$Q42*100,0)</f>
        <v>0.86660833193507247</v>
      </c>
      <c r="H43" s="42">
        <f t="shared" si="5"/>
        <v>0.76209536710370274</v>
      </c>
      <c r="I43" s="42">
        <f t="shared" si="5"/>
        <v>2.7211501622761274</v>
      </c>
      <c r="J43" s="42">
        <f t="shared" si="5"/>
        <v>2.4091711627795012</v>
      </c>
      <c r="K43" s="42">
        <f t="shared" si="5"/>
        <v>18.95462937117696</v>
      </c>
      <c r="L43" s="42">
        <f t="shared" si="5"/>
        <v>4.745374134314547</v>
      </c>
      <c r="M43" s="42">
        <f t="shared" si="5"/>
        <v>0.35530941609337968</v>
      </c>
      <c r="N43" s="42">
        <f t="shared" si="5"/>
        <v>0.85794224861572166</v>
      </c>
      <c r="O43" s="42">
        <f t="shared" si="5"/>
        <v>52.856506742732059</v>
      </c>
      <c r="P43" s="42">
        <f t="shared" si="5"/>
        <v>47.143493257267934</v>
      </c>
      <c r="Q43" s="42">
        <f t="shared" si="5"/>
        <v>100</v>
      </c>
      <c r="R43" s="446"/>
      <c r="T43" s="40"/>
    </row>
    <row r="44" spans="1:20" s="29" customFormat="1" ht="28.5" customHeight="1" x14ac:dyDescent="0.3">
      <c r="C44" s="104"/>
      <c r="D44" s="101" t="b">
        <f>D42='Anexo 1. Fontes e Aplicações'!F36</f>
        <v>1</v>
      </c>
      <c r="E44" s="103"/>
      <c r="F44" s="101" t="b">
        <f>F42='Anexo 2. Limites Estratégicos'!N6</f>
        <v>1</v>
      </c>
      <c r="H44" s="104" t="s">
        <v>165</v>
      </c>
      <c r="I44" s="104"/>
      <c r="J44" s="104"/>
      <c r="K44" s="104"/>
      <c r="L44" s="104"/>
      <c r="M44" s="104"/>
      <c r="N44" s="104"/>
      <c r="O44" s="101" t="b">
        <f>O42='Anexo 1. Fontes e Aplicações'!F8+'Anexo 1. Fontes e Aplicações'!F31</f>
        <v>1</v>
      </c>
      <c r="P44" s="101" t="b">
        <f>'Anexo 1. Fontes e Aplicações'!F22-'Anexo 1. Fontes e Aplicações'!F31=P42</f>
        <v>1</v>
      </c>
      <c r="Q44" s="104"/>
      <c r="R44" s="104"/>
      <c r="T44" s="40"/>
    </row>
    <row r="45" spans="1:20" s="29" customFormat="1" ht="56.1" customHeight="1" x14ac:dyDescent="0.3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76"/>
      <c r="P45" s="176">
        <f>Q42+Q45</f>
        <v>11539238.236575384</v>
      </c>
      <c r="Q45" s="177">
        <f>'Anexo 1. Fontes e Aplicações'!F25-Q42</f>
        <v>0</v>
      </c>
      <c r="R45" s="16"/>
      <c r="T45" s="40"/>
    </row>
    <row r="46" spans="1:20" s="29" customFormat="1" ht="56.1" customHeight="1" x14ac:dyDescent="0.3">
      <c r="A46" s="447" t="s">
        <v>181</v>
      </c>
      <c r="B46" s="448"/>
      <c r="C46" s="448"/>
      <c r="D46" s="448"/>
      <c r="E46" s="448"/>
      <c r="F46" s="448"/>
      <c r="G46" s="448"/>
      <c r="H46" s="448"/>
      <c r="I46" s="448"/>
      <c r="J46" s="448"/>
      <c r="K46" s="448"/>
      <c r="L46" s="448"/>
      <c r="M46" s="448"/>
      <c r="N46" s="448"/>
      <c r="O46" s="448"/>
      <c r="P46" s="448"/>
      <c r="Q46" s="448"/>
      <c r="R46" s="449"/>
      <c r="T46" s="40"/>
    </row>
    <row r="47" spans="1:20" s="29" customFormat="1" ht="51.75" customHeight="1" x14ac:dyDescent="0.3">
      <c r="A47" s="436" t="s">
        <v>300</v>
      </c>
      <c r="B47" s="437"/>
      <c r="C47" s="437"/>
      <c r="D47" s="437"/>
      <c r="E47" s="437"/>
      <c r="F47" s="437"/>
      <c r="G47" s="437"/>
      <c r="H47" s="437"/>
      <c r="I47" s="437"/>
      <c r="J47" s="437"/>
      <c r="K47" s="437"/>
      <c r="L47" s="437"/>
      <c r="M47" s="437"/>
      <c r="N47" s="437"/>
      <c r="O47" s="437"/>
      <c r="P47" s="437"/>
      <c r="Q47" s="437"/>
      <c r="R47" s="438"/>
    </row>
    <row r="48" spans="1:20" s="29" customFormat="1" ht="51.75" customHeight="1" x14ac:dyDescent="0.3">
      <c r="A48" s="439"/>
      <c r="B48" s="440"/>
      <c r="C48" s="441"/>
      <c r="D48" s="441"/>
      <c r="E48" s="441"/>
      <c r="F48" s="441"/>
      <c r="G48" s="441"/>
      <c r="H48" s="441"/>
      <c r="I48" s="441"/>
      <c r="J48" s="441"/>
      <c r="K48" s="441"/>
      <c r="L48" s="441"/>
      <c r="M48" s="441"/>
      <c r="N48" s="441"/>
      <c r="O48" s="441"/>
      <c r="P48" s="441"/>
      <c r="Q48" s="441"/>
      <c r="R48" s="442"/>
    </row>
    <row r="49" spans="1:18" s="29" customFormat="1" ht="51.75" customHeight="1" x14ac:dyDescent="0.3">
      <c r="A49" s="439"/>
      <c r="B49" s="440"/>
      <c r="C49" s="441"/>
      <c r="D49" s="441"/>
      <c r="E49" s="441"/>
      <c r="F49" s="441"/>
      <c r="G49" s="441"/>
      <c r="H49" s="441"/>
      <c r="I49" s="441"/>
      <c r="J49" s="441"/>
      <c r="K49" s="441"/>
      <c r="L49" s="441"/>
      <c r="M49" s="441"/>
      <c r="N49" s="441"/>
      <c r="O49" s="441"/>
      <c r="P49" s="441"/>
      <c r="Q49" s="441"/>
      <c r="R49" s="442"/>
    </row>
    <row r="50" spans="1:18" s="29" customFormat="1" ht="51.75" customHeight="1" x14ac:dyDescent="0.3">
      <c r="A50" s="439"/>
      <c r="B50" s="440"/>
      <c r="C50" s="441"/>
      <c r="D50" s="441"/>
      <c r="E50" s="441"/>
      <c r="F50" s="441"/>
      <c r="G50" s="441"/>
      <c r="H50" s="441"/>
      <c r="I50" s="441"/>
      <c r="J50" s="441"/>
      <c r="K50" s="441"/>
      <c r="L50" s="441"/>
      <c r="M50" s="441"/>
      <c r="N50" s="441"/>
      <c r="O50" s="441"/>
      <c r="P50" s="441"/>
      <c r="Q50" s="441"/>
      <c r="R50" s="442"/>
    </row>
    <row r="51" spans="1:18" s="29" customFormat="1" ht="51.75" customHeight="1" x14ac:dyDescent="0.3">
      <c r="A51" s="439"/>
      <c r="B51" s="440"/>
      <c r="C51" s="441"/>
      <c r="D51" s="441"/>
      <c r="E51" s="441"/>
      <c r="F51" s="441"/>
      <c r="G51" s="441"/>
      <c r="H51" s="441"/>
      <c r="I51" s="441"/>
      <c r="J51" s="441"/>
      <c r="K51" s="441"/>
      <c r="L51" s="441"/>
      <c r="M51" s="441"/>
      <c r="N51" s="441"/>
      <c r="O51" s="441"/>
      <c r="P51" s="441"/>
      <c r="Q51" s="441"/>
      <c r="R51" s="442"/>
    </row>
    <row r="52" spans="1:18" s="29" customFormat="1" ht="51.75" customHeight="1" x14ac:dyDescent="0.3">
      <c r="A52" s="439"/>
      <c r="B52" s="440"/>
      <c r="C52" s="441"/>
      <c r="D52" s="441"/>
      <c r="E52" s="441"/>
      <c r="F52" s="441"/>
      <c r="G52" s="441"/>
      <c r="H52" s="441"/>
      <c r="I52" s="441"/>
      <c r="J52" s="441"/>
      <c r="K52" s="441"/>
      <c r="L52" s="441"/>
      <c r="M52" s="441"/>
      <c r="N52" s="441"/>
      <c r="O52" s="441"/>
      <c r="P52" s="441"/>
      <c r="Q52" s="441"/>
      <c r="R52" s="442"/>
    </row>
    <row r="53" spans="1:18" s="29" customFormat="1" ht="51.75" customHeight="1" x14ac:dyDescent="0.3">
      <c r="A53" s="439"/>
      <c r="B53" s="440"/>
      <c r="C53" s="441"/>
      <c r="D53" s="441"/>
      <c r="E53" s="441"/>
      <c r="F53" s="441"/>
      <c r="G53" s="441"/>
      <c r="H53" s="441"/>
      <c r="I53" s="441"/>
      <c r="J53" s="441"/>
      <c r="K53" s="441"/>
      <c r="L53" s="441"/>
      <c r="M53" s="441"/>
      <c r="N53" s="441"/>
      <c r="O53" s="441"/>
      <c r="P53" s="441"/>
      <c r="Q53" s="441"/>
      <c r="R53" s="442"/>
    </row>
    <row r="54" spans="1:18" s="105" customFormat="1" ht="51.75" customHeight="1" x14ac:dyDescent="0.3">
      <c r="A54" s="439"/>
      <c r="B54" s="440"/>
      <c r="C54" s="441"/>
      <c r="D54" s="441"/>
      <c r="E54" s="441"/>
      <c r="F54" s="441"/>
      <c r="G54" s="441"/>
      <c r="H54" s="441"/>
      <c r="I54" s="441"/>
      <c r="J54" s="441"/>
      <c r="K54" s="441"/>
      <c r="L54" s="441"/>
      <c r="M54" s="441"/>
      <c r="N54" s="441"/>
      <c r="O54" s="441"/>
      <c r="P54" s="441"/>
      <c r="Q54" s="441"/>
      <c r="R54" s="442"/>
    </row>
    <row r="55" spans="1:18" ht="51.75" customHeight="1" x14ac:dyDescent="0.3">
      <c r="A55" s="439"/>
      <c r="B55" s="440"/>
      <c r="C55" s="441"/>
      <c r="D55" s="441"/>
      <c r="E55" s="441"/>
      <c r="F55" s="441"/>
      <c r="G55" s="441"/>
      <c r="H55" s="441"/>
      <c r="I55" s="441"/>
      <c r="J55" s="441"/>
      <c r="K55" s="441"/>
      <c r="L55" s="441"/>
      <c r="M55" s="441"/>
      <c r="N55" s="441"/>
      <c r="O55" s="441"/>
      <c r="P55" s="441"/>
      <c r="Q55" s="441"/>
      <c r="R55" s="442"/>
    </row>
    <row r="56" spans="1:18" ht="113.25" customHeight="1" x14ac:dyDescent="0.3">
      <c r="A56" s="443"/>
      <c r="B56" s="444"/>
      <c r="C56" s="444"/>
      <c r="D56" s="444"/>
      <c r="E56" s="444"/>
      <c r="F56" s="444"/>
      <c r="G56" s="444"/>
      <c r="H56" s="444"/>
      <c r="I56" s="444"/>
      <c r="J56" s="444"/>
      <c r="K56" s="444"/>
      <c r="L56" s="444"/>
      <c r="M56" s="444"/>
      <c r="N56" s="444"/>
      <c r="O56" s="444"/>
      <c r="P56" s="444"/>
      <c r="Q56" s="444"/>
      <c r="R56" s="445"/>
    </row>
  </sheetData>
  <mergeCells count="22">
    <mergeCell ref="A2:R2"/>
    <mergeCell ref="A3:R3"/>
    <mergeCell ref="A5:A6"/>
    <mergeCell ref="C5:C6"/>
    <mergeCell ref="D5:D6"/>
    <mergeCell ref="F5:G5"/>
    <mergeCell ref="H5:H6"/>
    <mergeCell ref="I5:K5"/>
    <mergeCell ref="L5:L6"/>
    <mergeCell ref="A47:R56"/>
    <mergeCell ref="T6:AB6"/>
    <mergeCell ref="A42:C42"/>
    <mergeCell ref="R42:R43"/>
    <mergeCell ref="A43:D43"/>
    <mergeCell ref="A46:R46"/>
    <mergeCell ref="M5:M6"/>
    <mergeCell ref="N5:N6"/>
    <mergeCell ref="O5:O6"/>
    <mergeCell ref="P5:P6"/>
    <mergeCell ref="Q5:Q6"/>
    <mergeCell ref="R5:R6"/>
    <mergeCell ref="B5:B6"/>
  </mergeCells>
  <conditionalFormatting sqref="S7:S42">
    <cfRule type="cellIs" dxfId="19" priority="4" operator="equal">
      <formula>TRUE</formula>
    </cfRule>
  </conditionalFormatting>
  <conditionalFormatting sqref="D44">
    <cfRule type="cellIs" dxfId="18" priority="3" operator="equal">
      <formula>TRUE</formula>
    </cfRule>
  </conditionalFormatting>
  <conditionalFormatting sqref="F44">
    <cfRule type="cellIs" dxfId="17" priority="2" operator="equal">
      <formula>TRUE</formula>
    </cfRule>
  </conditionalFormatting>
  <conditionalFormatting sqref="O44:P44">
    <cfRule type="cellIs" dxfId="16" priority="1" operator="equal">
      <formula>TRUE</formula>
    </cfRule>
  </conditionalFormatting>
  <pageMargins left="0.11811023622047245" right="0.11811023622047245" top="0.39370078740157483" bottom="0.39370078740157483" header="0.31496062992125984" footer="0.31496062992125984"/>
  <pageSetup scale="29" orientation="landscape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6900"/>
  </sheetPr>
  <dimension ref="A1:IO26"/>
  <sheetViews>
    <sheetView showGridLines="0" topLeftCell="C1" zoomScaleNormal="100" workbookViewId="0">
      <selection activeCell="M21" sqref="M21"/>
    </sheetView>
  </sheetViews>
  <sheetFormatPr defaultColWidth="0" defaultRowHeight="22.8" zeroHeight="1" x14ac:dyDescent="0.4"/>
  <cols>
    <col min="1" max="1" width="16.5546875" style="148" customWidth="1"/>
    <col min="2" max="2" width="70.44140625" style="149" customWidth="1"/>
    <col min="3" max="3" width="8.44140625" style="149" bestFit="1" customWidth="1"/>
    <col min="4" max="4" width="17.6640625" style="155" customWidth="1"/>
    <col min="5" max="5" width="8.109375" style="149" bestFit="1" customWidth="1"/>
    <col min="6" max="6" width="17.6640625" style="155" customWidth="1"/>
    <col min="7" max="7" width="8.44140625" style="149" bestFit="1" customWidth="1"/>
    <col min="8" max="8" width="17.6640625" style="155" customWidth="1"/>
    <col min="9" max="9" width="8.44140625" style="149" bestFit="1" customWidth="1"/>
    <col min="10" max="10" width="17.6640625" style="155" customWidth="1"/>
    <col min="11" max="11" width="12.33203125" style="149" bestFit="1" customWidth="1"/>
    <col min="12" max="12" width="8.5546875" style="136" customWidth="1"/>
    <col min="13" max="13" width="130.6640625" style="144" bestFit="1" customWidth="1"/>
    <col min="14" max="249" width="0" style="136" hidden="1" customWidth="1"/>
    <col min="250" max="16384" width="22.5546875" style="136" hidden="1"/>
  </cols>
  <sheetData>
    <row r="1" spans="1:13" x14ac:dyDescent="0.4">
      <c r="A1" s="465" t="s">
        <v>363</v>
      </c>
      <c r="B1" s="465" t="s">
        <v>364</v>
      </c>
      <c r="C1" s="467" t="s">
        <v>365</v>
      </c>
      <c r="D1" s="467"/>
      <c r="E1" s="467" t="s">
        <v>366</v>
      </c>
      <c r="F1" s="467"/>
      <c r="G1" s="467" t="s">
        <v>367</v>
      </c>
      <c r="H1" s="467"/>
      <c r="I1" s="467" t="s">
        <v>368</v>
      </c>
      <c r="J1" s="467"/>
      <c r="K1" s="460" t="s">
        <v>369</v>
      </c>
      <c r="M1" s="137" t="s">
        <v>370</v>
      </c>
    </row>
    <row r="2" spans="1:13" x14ac:dyDescent="0.4">
      <c r="A2" s="466"/>
      <c r="B2" s="466"/>
      <c r="C2" s="138" t="s">
        <v>371</v>
      </c>
      <c r="D2" s="139" t="s">
        <v>57</v>
      </c>
      <c r="E2" s="138" t="s">
        <v>371</v>
      </c>
      <c r="F2" s="139" t="s">
        <v>57</v>
      </c>
      <c r="G2" s="138" t="s">
        <v>371</v>
      </c>
      <c r="H2" s="139" t="s">
        <v>57</v>
      </c>
      <c r="I2" s="138" t="s">
        <v>371</v>
      </c>
      <c r="J2" s="139" t="s">
        <v>57</v>
      </c>
      <c r="K2" s="461"/>
      <c r="M2" s="137" t="s">
        <v>372</v>
      </c>
    </row>
    <row r="3" spans="1:13" ht="30.75" customHeight="1" x14ac:dyDescent="0.4">
      <c r="A3" s="462" t="s">
        <v>373</v>
      </c>
      <c r="B3" s="140" t="s">
        <v>26</v>
      </c>
      <c r="C3" s="141">
        <f>COUNTIFS('Quadro Geral'!$F:$F,'Matriz de Obj. Estrat.'!$B3,'Quadro Geral'!$B:$B,"P")</f>
        <v>0</v>
      </c>
      <c r="D3" s="142">
        <f>SUMIFS('Quadro Geral'!$L:$L,'Quadro Geral'!$F:$F,'Matriz de Obj. Estrat.'!$B3,'Quadro Geral'!$B:$B,"P")</f>
        <v>0</v>
      </c>
      <c r="E3" s="141">
        <f>COUNTIFS('Quadro Geral'!$F:$F,'Matriz de Obj. Estrat.'!$B3,'Quadro Geral'!$B:$B,"PE")</f>
        <v>0</v>
      </c>
      <c r="F3" s="142">
        <f>SUMIFS('Quadro Geral'!$L:$L,'Quadro Geral'!$F:$F,'Matriz de Obj. Estrat.'!$B3,'Quadro Geral'!$B:$B,"PE")</f>
        <v>0</v>
      </c>
      <c r="G3" s="141">
        <f>COUNTIFS('Quadro Geral'!$F:$F,'Matriz de Obj. Estrat.'!$B3,'Quadro Geral'!$B:$B,"A")</f>
        <v>0</v>
      </c>
      <c r="H3" s="142">
        <f>SUMIFS('Quadro Geral'!$L:$L,'Quadro Geral'!$F:$F,'Matriz de Obj. Estrat.'!$B3,'Quadro Geral'!$B:$B,"A")</f>
        <v>0</v>
      </c>
      <c r="I3" s="141">
        <f>C3+E3+G3</f>
        <v>0</v>
      </c>
      <c r="J3" s="142">
        <f>D3+F3+H3</f>
        <v>0</v>
      </c>
      <c r="K3" s="143">
        <f t="shared" ref="K3:K18" si="0">IFERROR(J3/$J$19*100,0)</f>
        <v>0</v>
      </c>
      <c r="M3" s="157" t="s">
        <v>33</v>
      </c>
    </row>
    <row r="4" spans="1:13" ht="30.75" customHeight="1" x14ac:dyDescent="0.4">
      <c r="A4" s="462"/>
      <c r="B4" s="140" t="s">
        <v>161</v>
      </c>
      <c r="C4" s="141">
        <f>COUNTIFS('Quadro Geral'!$F:$F,'Matriz de Obj. Estrat.'!$B4,'Quadro Geral'!$B:$B,"P")</f>
        <v>0</v>
      </c>
      <c r="D4" s="142">
        <f>SUMIFS('Quadro Geral'!$L:$L,'Quadro Geral'!$F:$F,'Matriz de Obj. Estrat.'!$B4,'Quadro Geral'!$B:$B,"P")</f>
        <v>0</v>
      </c>
      <c r="E4" s="141">
        <f>COUNTIFS('Quadro Geral'!$F:$F,'Matriz de Obj. Estrat.'!$B4,'Quadro Geral'!$B:$B,"PE")</f>
        <v>0</v>
      </c>
      <c r="F4" s="142">
        <f>SUMIFS('Quadro Geral'!$L:$L,'Quadro Geral'!$F:$F,'Matriz de Obj. Estrat.'!$B4,'Quadro Geral'!$B:$B,"PE")</f>
        <v>0</v>
      </c>
      <c r="G4" s="141">
        <f>COUNTIFS('Quadro Geral'!$F:$F,'Matriz de Obj. Estrat.'!$B4,'Quadro Geral'!$B:$B,"A")</f>
        <v>0</v>
      </c>
      <c r="H4" s="142">
        <f>SUMIFS('Quadro Geral'!$L:$L,'Quadro Geral'!$F:$F,'Matriz de Obj. Estrat.'!$B4,'Quadro Geral'!$B:$B,"A")</f>
        <v>0</v>
      </c>
      <c r="I4" s="141">
        <f t="shared" ref="I4:J18" si="1">C4+E4+G4</f>
        <v>0</v>
      </c>
      <c r="J4" s="142">
        <f t="shared" si="1"/>
        <v>0</v>
      </c>
      <c r="K4" s="143">
        <f t="shared" si="0"/>
        <v>0</v>
      </c>
      <c r="M4" s="157" t="s">
        <v>26</v>
      </c>
    </row>
    <row r="5" spans="1:13" ht="30.75" customHeight="1" x14ac:dyDescent="0.4">
      <c r="A5" s="463" t="s">
        <v>374</v>
      </c>
      <c r="B5" s="140" t="s">
        <v>27</v>
      </c>
      <c r="C5" s="141">
        <f>COUNTIFS('Quadro Geral'!$F:$F,'Matriz de Obj. Estrat.'!$B5,'Quadro Geral'!$B:$B,"P")</f>
        <v>0</v>
      </c>
      <c r="D5" s="142">
        <f>SUMIFS('Quadro Geral'!$L:$L,'Quadro Geral'!$F:$F,'Matriz de Obj. Estrat.'!$B5,'Quadro Geral'!$B:$B,"P")</f>
        <v>0</v>
      </c>
      <c r="E5" s="141">
        <f>COUNTIFS('Quadro Geral'!$F:$F,'Matriz de Obj. Estrat.'!$B5,'Quadro Geral'!$B:$B,"PE")</f>
        <v>0</v>
      </c>
      <c r="F5" s="142">
        <f>SUMIFS('Quadro Geral'!$L:$L,'Quadro Geral'!$F:$F,'Matriz de Obj. Estrat.'!$B5,'Quadro Geral'!$B:$B,"PE")</f>
        <v>0</v>
      </c>
      <c r="G5" s="141">
        <f>COUNTIFS('Quadro Geral'!$F:$F,'Matriz de Obj. Estrat.'!$B5,'Quadro Geral'!$B:$B,"A")</f>
        <v>3</v>
      </c>
      <c r="H5" s="142">
        <f>SUMIFS('Quadro Geral'!$L:$L,'Quadro Geral'!$F:$F,'Matriz de Obj. Estrat.'!$B5,'Quadro Geral'!$B:$B,"A")</f>
        <v>790636.95</v>
      </c>
      <c r="I5" s="141">
        <f t="shared" si="1"/>
        <v>3</v>
      </c>
      <c r="J5" s="142">
        <f t="shared" si="1"/>
        <v>790636.95</v>
      </c>
      <c r="K5" s="143">
        <f t="shared" si="0"/>
        <v>6.8517256840573317</v>
      </c>
      <c r="M5" s="157" t="s">
        <v>140</v>
      </c>
    </row>
    <row r="6" spans="1:13" ht="30.75" customHeight="1" x14ac:dyDescent="0.4">
      <c r="A6" s="463"/>
      <c r="B6" s="260" t="s">
        <v>128</v>
      </c>
      <c r="C6" s="141">
        <f>COUNTIFS('Quadro Geral'!$F:$F,'Matriz de Obj. Estrat.'!$B6,'Quadro Geral'!$B:$B,"P")</f>
        <v>1</v>
      </c>
      <c r="D6" s="142">
        <f>SUMIFS('Quadro Geral'!$L:$L,'Quadro Geral'!$F:$F,'Matriz de Obj. Estrat.'!$B6,'Quadro Geral'!$B:$B,"P")</f>
        <v>50000</v>
      </c>
      <c r="E6" s="141">
        <f>COUNTIFS('Quadro Geral'!$F:$F,'Matriz de Obj. Estrat.'!$B6,'Quadro Geral'!$B:$B,"PE")</f>
        <v>0</v>
      </c>
      <c r="F6" s="142">
        <f>SUMIFS('Quadro Geral'!$L:$L,'Quadro Geral'!$F:$F,'Matriz de Obj. Estrat.'!$B6,'Quadro Geral'!$B:$B,"PE")</f>
        <v>0</v>
      </c>
      <c r="G6" s="141">
        <f>COUNTIFS('Quadro Geral'!$F:$F,'Matriz de Obj. Estrat.'!$B6,'Quadro Geral'!$B:$B,"A")</f>
        <v>4</v>
      </c>
      <c r="H6" s="142">
        <f>SUMIFS('Quadro Geral'!$L:$L,'Quadro Geral'!$F:$F,'Matriz de Obj. Estrat.'!$B6,'Quadro Geral'!$B:$B,"A")</f>
        <v>657040.50957897876</v>
      </c>
      <c r="I6" s="141">
        <f t="shared" si="1"/>
        <v>5</v>
      </c>
      <c r="J6" s="261">
        <f t="shared" si="1"/>
        <v>707040.50957897876</v>
      </c>
      <c r="K6" s="143">
        <f t="shared" si="0"/>
        <v>6.1272719661676236</v>
      </c>
    </row>
    <row r="7" spans="1:13" ht="30.75" customHeight="1" x14ac:dyDescent="0.4">
      <c r="A7" s="463"/>
      <c r="B7" s="140" t="s">
        <v>29</v>
      </c>
      <c r="C7" s="141">
        <f>COUNTIFS('Quadro Geral'!$F:$F,'Matriz de Obj. Estrat.'!$B7,'Quadro Geral'!$B:$B,"P")</f>
        <v>1</v>
      </c>
      <c r="D7" s="142">
        <f>SUMIFS('Quadro Geral'!$L:$L,'Quadro Geral'!$F:$F,'Matriz de Obj. Estrat.'!$B7,'Quadro Geral'!$B:$B,"P")</f>
        <v>100000</v>
      </c>
      <c r="E7" s="141">
        <f>COUNTIFS('Quadro Geral'!$F:$F,'Matriz de Obj. Estrat.'!$B7,'Quadro Geral'!$B:$B,"PE")</f>
        <v>0</v>
      </c>
      <c r="F7" s="142">
        <f>SUMIFS('Quadro Geral'!$L:$L,'Quadro Geral'!$F:$F,'Matriz de Obj. Estrat.'!$B7,'Quadro Geral'!$B:$B,"PE")</f>
        <v>0</v>
      </c>
      <c r="G7" s="141">
        <f>COUNTIFS('Quadro Geral'!$F:$F,'Matriz de Obj. Estrat.'!$B7,'Quadro Geral'!$B:$B,"A")</f>
        <v>0</v>
      </c>
      <c r="H7" s="142">
        <f>SUMIFS('Quadro Geral'!$L:$L,'Quadro Geral'!$F:$F,'Matriz de Obj. Estrat.'!$B7,'Quadro Geral'!$B:$B,"A")</f>
        <v>0</v>
      </c>
      <c r="I7" s="141">
        <f t="shared" si="1"/>
        <v>1</v>
      </c>
      <c r="J7" s="142">
        <f t="shared" si="1"/>
        <v>100000</v>
      </c>
      <c r="K7" s="143">
        <f t="shared" si="0"/>
        <v>0.86660833193507247</v>
      </c>
    </row>
    <row r="8" spans="1:13" ht="30.75" customHeight="1" x14ac:dyDescent="0.4">
      <c r="A8" s="463"/>
      <c r="B8" s="260" t="s">
        <v>140</v>
      </c>
      <c r="C8" s="141">
        <f>COUNTIFS('Quadro Geral'!$F:$F,'Matriz de Obj. Estrat.'!$B8,'Quadro Geral'!$B:$B,"P")</f>
        <v>0</v>
      </c>
      <c r="D8" s="142">
        <f>SUMIFS('Quadro Geral'!$L:$L,'Quadro Geral'!$F:$F,'Matriz de Obj. Estrat.'!$B8,'Quadro Geral'!$B:$B,"P")</f>
        <v>0</v>
      </c>
      <c r="E8" s="141">
        <f>COUNTIFS('Quadro Geral'!$F:$F,'Matriz de Obj. Estrat.'!$B8,'Quadro Geral'!$B:$B,"PE")</f>
        <v>0</v>
      </c>
      <c r="F8" s="142">
        <f>SUMIFS('Quadro Geral'!$L:$L,'Quadro Geral'!$F:$F,'Matriz de Obj. Estrat.'!$B8,'Quadro Geral'!$B:$B,"PE")</f>
        <v>0</v>
      </c>
      <c r="G8" s="141">
        <f>COUNTIFS('Quadro Geral'!$F:$F,'Matriz de Obj. Estrat.'!$B8,'Quadro Geral'!$B:$B,"A")</f>
        <v>1</v>
      </c>
      <c r="H8" s="142">
        <f>SUMIFS('Quadro Geral'!$L:$L,'Quadro Geral'!$F:$F,'Matriz de Obj. Estrat.'!$B8,'Quadro Geral'!$B:$B,"A")</f>
        <v>80000</v>
      </c>
      <c r="I8" s="141">
        <f t="shared" si="1"/>
        <v>1</v>
      </c>
      <c r="J8" s="261">
        <f t="shared" si="1"/>
        <v>80000</v>
      </c>
      <c r="K8" s="143">
        <f t="shared" si="0"/>
        <v>0.69328666554805796</v>
      </c>
    </row>
    <row r="9" spans="1:13" ht="30.75" customHeight="1" x14ac:dyDescent="0.4">
      <c r="A9" s="463"/>
      <c r="B9" s="140" t="s">
        <v>162</v>
      </c>
      <c r="C9" s="141">
        <f>COUNTIFS('Quadro Geral'!$F:$F,'Matriz de Obj. Estrat.'!$B9,'Quadro Geral'!$B:$B,"P")</f>
        <v>0</v>
      </c>
      <c r="D9" s="142">
        <f>SUMIFS('Quadro Geral'!$L:$L,'Quadro Geral'!$F:$F,'Matriz de Obj. Estrat.'!$B9,'Quadro Geral'!$B:$B,"P")</f>
        <v>0</v>
      </c>
      <c r="E9" s="141">
        <f>COUNTIFS('Quadro Geral'!$F:$F,'Matriz de Obj. Estrat.'!$B9,'Quadro Geral'!$B:$B,"PE")</f>
        <v>0</v>
      </c>
      <c r="F9" s="142">
        <f>SUMIFS('Quadro Geral'!$L:$L,'Quadro Geral'!$F:$F,'Matriz de Obj. Estrat.'!$B9,'Quadro Geral'!$B:$B,"PE")</f>
        <v>0</v>
      </c>
      <c r="G9" s="141">
        <f>COUNTIFS('Quadro Geral'!$F:$F,'Matriz de Obj. Estrat.'!$B9,'Quadro Geral'!$B:$B,"A")</f>
        <v>1</v>
      </c>
      <c r="H9" s="142">
        <f>SUMIFS('Quadro Geral'!$L:$L,'Quadro Geral'!$F:$F,'Matriz de Obj. Estrat.'!$B9,'Quadro Geral'!$B:$B,"A")</f>
        <v>0</v>
      </c>
      <c r="I9" s="141">
        <f t="shared" si="1"/>
        <v>1</v>
      </c>
      <c r="J9" s="142">
        <f t="shared" si="1"/>
        <v>0</v>
      </c>
      <c r="K9" s="143">
        <f t="shared" si="0"/>
        <v>0</v>
      </c>
    </row>
    <row r="10" spans="1:13" ht="30.75" customHeight="1" x14ac:dyDescent="0.4">
      <c r="A10" s="463"/>
      <c r="B10" s="140" t="s">
        <v>134</v>
      </c>
      <c r="C10" s="141">
        <f>COUNTIFS('Quadro Geral'!$F:$F,'Matriz de Obj. Estrat.'!$B10,'Quadro Geral'!$B:$B,"P")</f>
        <v>0</v>
      </c>
      <c r="D10" s="142">
        <f>SUMIFS('Quadro Geral'!$L:$L,'Quadro Geral'!$F:$F,'Matriz de Obj. Estrat.'!$B10,'Quadro Geral'!$B:$B,"P")</f>
        <v>0</v>
      </c>
      <c r="E10" s="141">
        <f>COUNTIFS('Quadro Geral'!$F:$F,'Matriz de Obj. Estrat.'!$B10,'Quadro Geral'!$B:$B,"PE")</f>
        <v>0</v>
      </c>
      <c r="F10" s="142">
        <f>SUMIFS('Quadro Geral'!$L:$L,'Quadro Geral'!$F:$F,'Matriz de Obj. Estrat.'!$B10,'Quadro Geral'!$B:$B,"PE")</f>
        <v>0</v>
      </c>
      <c r="G10" s="141">
        <f>COUNTIFS('Quadro Geral'!$F:$F,'Matriz de Obj. Estrat.'!$B10,'Quadro Geral'!$B:$B,"A")</f>
        <v>1</v>
      </c>
      <c r="H10" s="142">
        <f>SUMIFS('Quadro Geral'!$L:$L,'Quadro Geral'!$F:$F,'Matriz de Obj. Estrat.'!$B10,'Quadro Geral'!$B:$B,"A")</f>
        <v>181549.92</v>
      </c>
      <c r="I10" s="141">
        <f t="shared" si="1"/>
        <v>1</v>
      </c>
      <c r="J10" s="142">
        <f t="shared" si="1"/>
        <v>181549.92</v>
      </c>
      <c r="K10" s="143">
        <f t="shared" si="0"/>
        <v>1.5733267333414587</v>
      </c>
    </row>
    <row r="11" spans="1:13" ht="30.75" customHeight="1" x14ac:dyDescent="0.4">
      <c r="A11" s="463"/>
      <c r="B11" s="140" t="s">
        <v>32</v>
      </c>
      <c r="C11" s="141">
        <f>COUNTIFS('Quadro Geral'!$F:$F,'Matriz de Obj. Estrat.'!$B11,'Quadro Geral'!$B:$B,"P")</f>
        <v>1</v>
      </c>
      <c r="D11" s="142">
        <f>SUMIFS('Quadro Geral'!$L:$L,'Quadro Geral'!$F:$F,'Matriz de Obj. Estrat.'!$B11,'Quadro Geral'!$B:$B,"P")</f>
        <v>100000</v>
      </c>
      <c r="E11" s="141">
        <f>COUNTIFS('Quadro Geral'!$F:$F,'Matriz de Obj. Estrat.'!$B11,'Quadro Geral'!$B:$B,"PE")</f>
        <v>0</v>
      </c>
      <c r="F11" s="142">
        <f>SUMIFS('Quadro Geral'!$L:$L,'Quadro Geral'!$F:$F,'Matriz de Obj. Estrat.'!$B11,'Quadro Geral'!$B:$B,"PE")</f>
        <v>0</v>
      </c>
      <c r="G11" s="141">
        <f>COUNTIFS('Quadro Geral'!$F:$F,'Matriz de Obj. Estrat.'!$B11,'Quadro Geral'!$B:$B,"A")</f>
        <v>2</v>
      </c>
      <c r="H11" s="142">
        <f>SUMIFS('Quadro Geral'!$L:$L,'Quadro Geral'!$F:$F,'Matriz de Obj. Estrat.'!$B11,'Quadro Geral'!$B:$B,"A")</f>
        <v>717885.45</v>
      </c>
      <c r="I11" s="141">
        <f t="shared" si="1"/>
        <v>3</v>
      </c>
      <c r="J11" s="142">
        <f t="shared" si="1"/>
        <v>817885.45</v>
      </c>
      <c r="K11" s="143">
        <f t="shared" si="0"/>
        <v>7.0878634553846602</v>
      </c>
    </row>
    <row r="12" spans="1:13" ht="30.75" customHeight="1" x14ac:dyDescent="0.4">
      <c r="A12" s="463"/>
      <c r="B12" s="260" t="s">
        <v>33</v>
      </c>
      <c r="C12" s="141">
        <f>COUNTIFS('Quadro Geral'!$F:$F,'Matriz de Obj. Estrat.'!$B12,'Quadro Geral'!$B:$B,"P")</f>
        <v>0</v>
      </c>
      <c r="D12" s="142">
        <f>SUMIFS('Quadro Geral'!$L:$L,'Quadro Geral'!$F:$F,'Matriz de Obj. Estrat.'!$B12,'Quadro Geral'!$B:$B,"P")</f>
        <v>0</v>
      </c>
      <c r="E12" s="141">
        <f>COUNTIFS('Quadro Geral'!$F:$F,'Matriz de Obj. Estrat.'!$B12,'Quadro Geral'!$B:$B,"PE")</f>
        <v>0</v>
      </c>
      <c r="F12" s="142">
        <f>SUMIFS('Quadro Geral'!$L:$L,'Quadro Geral'!$F:$F,'Matriz de Obj. Estrat.'!$B12,'Quadro Geral'!$B:$B,"PE")</f>
        <v>0</v>
      </c>
      <c r="G12" s="141">
        <f>COUNTIFS('Quadro Geral'!$F:$F,'Matriz de Obj. Estrat.'!$B12,'Quadro Geral'!$B:$B,"A")</f>
        <v>2</v>
      </c>
      <c r="H12" s="142">
        <f>SUMIFS('Quadro Geral'!$L:$L,'Quadro Geral'!$F:$F,'Matriz de Obj. Estrat.'!$B12,'Quadro Geral'!$B:$B,"A")</f>
        <v>370291.95999999996</v>
      </c>
      <c r="I12" s="141">
        <f t="shared" si="1"/>
        <v>2</v>
      </c>
      <c r="J12" s="261">
        <f t="shared" si="1"/>
        <v>370291.95999999996</v>
      </c>
      <c r="K12" s="143">
        <f t="shared" si="0"/>
        <v>3.2089809778456853</v>
      </c>
    </row>
    <row r="13" spans="1:13" ht="30.75" customHeight="1" x14ac:dyDescent="0.4">
      <c r="A13" s="463"/>
      <c r="B13" s="140" t="s">
        <v>34</v>
      </c>
      <c r="C13" s="141">
        <f>COUNTIFS('Quadro Geral'!$F:$F,'Matriz de Obj. Estrat.'!$B13,'Quadro Geral'!$B:$B,"P")</f>
        <v>1</v>
      </c>
      <c r="D13" s="142">
        <f>SUMIFS('Quadro Geral'!$L:$L,'Quadro Geral'!$F:$F,'Matriz de Obj. Estrat.'!$B13,'Quadro Geral'!$B:$B,"P")</f>
        <v>268400</v>
      </c>
      <c r="E13" s="141">
        <f>COUNTIFS('Quadro Geral'!$F:$F,'Matriz de Obj. Estrat.'!$B13,'Quadro Geral'!$B:$B,"PE")</f>
        <v>0</v>
      </c>
      <c r="F13" s="142">
        <f>SUMIFS('Quadro Geral'!$L:$L,'Quadro Geral'!$F:$F,'Matriz de Obj. Estrat.'!$B13,'Quadro Geral'!$B:$B,"PE")</f>
        <v>0</v>
      </c>
      <c r="G13" s="141">
        <f>COUNTIFS('Quadro Geral'!$F:$F,'Matriz de Obj. Estrat.'!$B13,'Quadro Geral'!$B:$B,"A")</f>
        <v>0</v>
      </c>
      <c r="H13" s="142">
        <f>SUMIFS('Quadro Geral'!$L:$L,'Quadro Geral'!$F:$F,'Matriz de Obj. Estrat.'!$B13,'Quadro Geral'!$B:$B,"A")</f>
        <v>0</v>
      </c>
      <c r="I13" s="141">
        <f t="shared" si="1"/>
        <v>1</v>
      </c>
      <c r="J13" s="142">
        <f t="shared" si="1"/>
        <v>268400</v>
      </c>
      <c r="K13" s="143">
        <f t="shared" si="0"/>
        <v>2.3259767629137342</v>
      </c>
    </row>
    <row r="14" spans="1:13" ht="30.75" customHeight="1" x14ac:dyDescent="0.4">
      <c r="A14" s="463"/>
      <c r="B14" s="140" t="s">
        <v>35</v>
      </c>
      <c r="C14" s="141">
        <f>COUNTIFS('Quadro Geral'!$F:$F,'Matriz de Obj. Estrat.'!$B14,'Quadro Geral'!$B:$B,"P")</f>
        <v>0</v>
      </c>
      <c r="D14" s="142">
        <f>SUMIFS('Quadro Geral'!$L:$L,'Quadro Geral'!$F:$F,'Matriz de Obj. Estrat.'!$B14,'Quadro Geral'!$B:$B,"P")</f>
        <v>0</v>
      </c>
      <c r="E14" s="141">
        <f>COUNTIFS('Quadro Geral'!$F:$F,'Matriz de Obj. Estrat.'!$B14,'Quadro Geral'!$B:$B,"PE")</f>
        <v>0</v>
      </c>
      <c r="F14" s="142">
        <f>SUMIFS('Quadro Geral'!$L:$L,'Quadro Geral'!$F:$F,'Matriz de Obj. Estrat.'!$B14,'Quadro Geral'!$B:$B,"PE")</f>
        <v>0</v>
      </c>
      <c r="G14" s="141">
        <f>COUNTIFS('Quadro Geral'!$F:$F,'Matriz de Obj. Estrat.'!$B14,'Quadro Geral'!$B:$B,"A")</f>
        <v>4</v>
      </c>
      <c r="H14" s="142">
        <f>SUMIFS('Quadro Geral'!$L:$L,'Quadro Geral'!$F:$F,'Matriz de Obj. Estrat.'!$B14,'Quadro Geral'!$B:$B,"A")</f>
        <v>617311.35699640354</v>
      </c>
      <c r="I14" s="141">
        <f t="shared" si="1"/>
        <v>4</v>
      </c>
      <c r="J14" s="142">
        <f t="shared" si="1"/>
        <v>617311.35699640354</v>
      </c>
      <c r="K14" s="143">
        <f t="shared" si="0"/>
        <v>5.349671653712293</v>
      </c>
    </row>
    <row r="15" spans="1:13" ht="30.75" customHeight="1" x14ac:dyDescent="0.4">
      <c r="A15" s="463"/>
      <c r="B15" s="140" t="s">
        <v>36</v>
      </c>
      <c r="C15" s="141">
        <f>COUNTIFS('Quadro Geral'!$F:$F,'Matriz de Obj. Estrat.'!$B15,'Quadro Geral'!$B:$B,"P")</f>
        <v>2</v>
      </c>
      <c r="D15" s="142">
        <f>SUMIFS('Quadro Geral'!$L:$L,'Quadro Geral'!$F:$F,'Matriz de Obj. Estrat.'!$B15,'Quadro Geral'!$B:$B,"P")</f>
        <v>20000</v>
      </c>
      <c r="E15" s="141">
        <f>COUNTIFS('Quadro Geral'!$F:$F,'Matriz de Obj. Estrat.'!$B15,'Quadro Geral'!$B:$B,"PE")</f>
        <v>0</v>
      </c>
      <c r="F15" s="142">
        <f>SUMIFS('Quadro Geral'!$L:$L,'Quadro Geral'!$F:$F,'Matriz de Obj. Estrat.'!$B15,'Quadro Geral'!$B:$B,"PE")</f>
        <v>0</v>
      </c>
      <c r="G15" s="141">
        <f>COUNTIFS('Quadro Geral'!$F:$F,'Matriz de Obj. Estrat.'!$B15,'Quadro Geral'!$B:$B,"A")</f>
        <v>4</v>
      </c>
      <c r="H15" s="142">
        <f>SUMIFS('Quadro Geral'!$L:$L,'Quadro Geral'!$F:$F,'Matriz de Obj. Estrat.'!$B15,'Quadro Geral'!$B:$B,"A")</f>
        <v>749259.34000000008</v>
      </c>
      <c r="I15" s="141">
        <f t="shared" si="1"/>
        <v>6</v>
      </c>
      <c r="J15" s="142">
        <f t="shared" si="1"/>
        <v>769259.34000000008</v>
      </c>
      <c r="K15" s="143">
        <f t="shared" si="0"/>
        <v>6.6664655346287489</v>
      </c>
    </row>
    <row r="16" spans="1:13" ht="30.75" customHeight="1" x14ac:dyDescent="0.4">
      <c r="A16" s="463" t="s">
        <v>375</v>
      </c>
      <c r="B16" s="140" t="s">
        <v>37</v>
      </c>
      <c r="C16" s="141">
        <f>COUNTIFS('Quadro Geral'!$F:$F,'Matriz de Obj. Estrat.'!$B16,'Quadro Geral'!$B:$B,"P")</f>
        <v>0</v>
      </c>
      <c r="D16" s="142">
        <f>SUMIFS('Quadro Geral'!$L:$L,'Quadro Geral'!$F:$F,'Matriz de Obj. Estrat.'!$B16,'Quadro Geral'!$B:$B,"P")</f>
        <v>0</v>
      </c>
      <c r="E16" s="141">
        <f>COUNTIFS('Quadro Geral'!$F:$F,'Matriz de Obj. Estrat.'!$B16,'Quadro Geral'!$B:$B,"PE")</f>
        <v>0</v>
      </c>
      <c r="F16" s="142">
        <f>SUMIFS('Quadro Geral'!$L:$L,'Quadro Geral'!$F:$F,'Matriz de Obj. Estrat.'!$B16,'Quadro Geral'!$B:$B,"PE")</f>
        <v>0</v>
      </c>
      <c r="G16" s="141">
        <f>COUNTIFS('Quadro Geral'!$F:$F,'Matriz de Obj. Estrat.'!$B16,'Quadro Geral'!$B:$B,"A")</f>
        <v>1</v>
      </c>
      <c r="H16" s="142">
        <f>SUMIFS('Quadro Geral'!$L:$L,'Quadro Geral'!$F:$F,'Matriz de Obj. Estrat.'!$B16,'Quadro Geral'!$B:$B,"A")</f>
        <v>80000</v>
      </c>
      <c r="I16" s="141">
        <f t="shared" si="1"/>
        <v>1</v>
      </c>
      <c r="J16" s="142">
        <f t="shared" si="1"/>
        <v>80000</v>
      </c>
      <c r="K16" s="143">
        <f t="shared" si="0"/>
        <v>0.69328666554805796</v>
      </c>
    </row>
    <row r="17" spans="1:12" ht="30.75" customHeight="1" x14ac:dyDescent="0.4">
      <c r="A17" s="463"/>
      <c r="B17" s="140" t="s">
        <v>38</v>
      </c>
      <c r="C17" s="141">
        <f>COUNTIFS('Quadro Geral'!$F:$F,'Matriz de Obj. Estrat.'!$B17,'Quadro Geral'!$B:$B,"P")</f>
        <v>0</v>
      </c>
      <c r="D17" s="142">
        <f>SUMIFS('Quadro Geral'!$L:$L,'Quadro Geral'!$F:$F,'Matriz de Obj. Estrat.'!$B17,'Quadro Geral'!$B:$B,"P")</f>
        <v>0</v>
      </c>
      <c r="E17" s="141">
        <f>COUNTIFS('Quadro Geral'!$F:$F,'Matriz de Obj. Estrat.'!$B17,'Quadro Geral'!$B:$B,"PE")</f>
        <v>0</v>
      </c>
      <c r="F17" s="142">
        <f>SUMIFS('Quadro Geral'!$L:$L,'Quadro Geral'!$F:$F,'Matriz de Obj. Estrat.'!$B17,'Quadro Geral'!$B:$B,"PE")</f>
        <v>0</v>
      </c>
      <c r="G17" s="141">
        <f>COUNTIFS('Quadro Geral'!$F:$F,'Matriz de Obj. Estrat.'!$B17,'Quadro Geral'!$B:$B,"A")</f>
        <v>1</v>
      </c>
      <c r="H17" s="142">
        <f>SUMIFS('Quadro Geral'!$L:$L,'Quadro Geral'!$F:$F,'Matriz de Obj. Estrat.'!$B17,'Quadro Geral'!$B:$B,"A")</f>
        <v>1316862.75</v>
      </c>
      <c r="I17" s="141">
        <f t="shared" si="1"/>
        <v>1</v>
      </c>
      <c r="J17" s="142">
        <f t="shared" si="1"/>
        <v>1316862.75</v>
      </c>
      <c r="K17" s="143">
        <f t="shared" si="0"/>
        <v>11.412042311649323</v>
      </c>
    </row>
    <row r="18" spans="1:12" ht="30.75" customHeight="1" x14ac:dyDescent="0.4">
      <c r="A18" s="463"/>
      <c r="B18" s="140" t="s">
        <v>39</v>
      </c>
      <c r="C18" s="141">
        <f>COUNTIFS('Quadro Geral'!$F:$F,'Matriz de Obj. Estrat.'!$B18,'Quadro Geral'!$B:$B,"P")</f>
        <v>5</v>
      </c>
      <c r="D18" s="142">
        <f>SUMIFS('Quadro Geral'!$L:$L,'Quadro Geral'!$F:$F,'Matriz de Obj. Estrat.'!$B18,'Quadro Geral'!$B:$B,"P")</f>
        <v>5440000</v>
      </c>
      <c r="E18" s="141">
        <f>COUNTIFS('Quadro Geral'!$F:$F,'Matriz de Obj. Estrat.'!$B18,'Quadro Geral'!$B:$B,"PE")</f>
        <v>0</v>
      </c>
      <c r="F18" s="142">
        <f>SUMIFS('Quadro Geral'!$L:$L,'Quadro Geral'!$F:$F,'Matriz de Obj. Estrat.'!$B18,'Quadro Geral'!$B:$B,"PE")</f>
        <v>0</v>
      </c>
      <c r="G18" s="141">
        <f>COUNTIFS('Quadro Geral'!$F:$F,'Matriz de Obj. Estrat.'!$B18,'Quadro Geral'!$B:$B,"A")</f>
        <v>0</v>
      </c>
      <c r="H18" s="142">
        <f>SUMIFS('Quadro Geral'!$L:$L,'Quadro Geral'!$F:$F,'Matriz de Obj. Estrat.'!$B18,'Quadro Geral'!$B:$B,"A")</f>
        <v>0</v>
      </c>
      <c r="I18" s="141">
        <f t="shared" si="1"/>
        <v>5</v>
      </c>
      <c r="J18" s="142">
        <f t="shared" si="1"/>
        <v>5440000</v>
      </c>
      <c r="K18" s="143">
        <f t="shared" si="0"/>
        <v>47.143493257267934</v>
      </c>
    </row>
    <row r="19" spans="1:12" ht="23.4" x14ac:dyDescent="0.45">
      <c r="A19" s="464" t="s">
        <v>6</v>
      </c>
      <c r="B19" s="464"/>
      <c r="C19" s="145">
        <f>SUM(C3:C18)</f>
        <v>11</v>
      </c>
      <c r="D19" s="145">
        <f t="shared" ref="D19:J19" si="2">SUM(D3:D18)</f>
        <v>5978400</v>
      </c>
      <c r="E19" s="145">
        <f t="shared" si="2"/>
        <v>0</v>
      </c>
      <c r="F19" s="145">
        <f t="shared" si="2"/>
        <v>0</v>
      </c>
      <c r="G19" s="145">
        <f t="shared" si="2"/>
        <v>24</v>
      </c>
      <c r="H19" s="145">
        <f t="shared" si="2"/>
        <v>5560838.2365753828</v>
      </c>
      <c r="I19" s="145">
        <f t="shared" si="2"/>
        <v>35</v>
      </c>
      <c r="J19" s="145">
        <f t="shared" si="2"/>
        <v>11539238.236575384</v>
      </c>
      <c r="K19" s="146">
        <f>SUM(K3:K18)</f>
        <v>99.999999999999972</v>
      </c>
      <c r="L19" s="147"/>
    </row>
    <row r="20" spans="1:12" x14ac:dyDescent="0.4">
      <c r="D20" s="150"/>
      <c r="E20" s="151"/>
      <c r="F20" s="150"/>
      <c r="G20" s="152"/>
      <c r="H20" s="150"/>
      <c r="I20" s="152"/>
      <c r="J20" s="153">
        <f>'[9]Quadro Geral'!I82</f>
        <v>0</v>
      </c>
    </row>
    <row r="21" spans="1:12" x14ac:dyDescent="0.4">
      <c r="C21" s="154"/>
      <c r="D21" s="153" t="b">
        <f>D19='Anexo 1. Fontes e Aplicações'!F30</f>
        <v>1</v>
      </c>
      <c r="F21" s="153" t="b">
        <f>F19='Anexo 1. Fontes e Aplicações'!F31</f>
        <v>1</v>
      </c>
      <c r="G21" s="154"/>
      <c r="H21" s="153" t="b">
        <f>H19='Anexo 1. Fontes e Aplicações'!F32+'Anexo 1. Fontes e Aplicações'!F33+'Anexo 1. Fontes e Aplicações'!F34+'Anexo 1. Fontes e Aplicações'!F35</f>
        <v>1</v>
      </c>
      <c r="J21" s="153" t="b">
        <f>J20=J19</f>
        <v>0</v>
      </c>
    </row>
    <row r="22" spans="1:12" hidden="1" x14ac:dyDescent="0.4">
      <c r="E22" s="156"/>
    </row>
    <row r="23" spans="1:12" hidden="1" x14ac:dyDescent="0.4">
      <c r="E23" s="156"/>
      <c r="G23" s="154"/>
    </row>
    <row r="24" spans="1:12" hidden="1" x14ac:dyDescent="0.4">
      <c r="E24" s="156"/>
    </row>
    <row r="25" spans="1:12" hidden="1" x14ac:dyDescent="0.4">
      <c r="A25" s="149"/>
      <c r="I25" s="154"/>
    </row>
    <row r="26" spans="1:12" hidden="1" x14ac:dyDescent="0.4">
      <c r="A26" s="149"/>
      <c r="G26" s="156"/>
      <c r="I26" s="154"/>
    </row>
  </sheetData>
  <mergeCells count="11">
    <mergeCell ref="K1:K2"/>
    <mergeCell ref="A3:A4"/>
    <mergeCell ref="A5:A15"/>
    <mergeCell ref="A16:A18"/>
    <mergeCell ref="A19:B19"/>
    <mergeCell ref="A1:A2"/>
    <mergeCell ref="B1:B2"/>
    <mergeCell ref="C1:D1"/>
    <mergeCell ref="E1:F1"/>
    <mergeCell ref="G1:H1"/>
    <mergeCell ref="I1:J1"/>
  </mergeCells>
  <conditionalFormatting sqref="C2:D2 G2:I2">
    <cfRule type="cellIs" dxfId="15" priority="12" operator="equal">
      <formula>"S"</formula>
    </cfRule>
    <cfRule type="cellIs" dxfId="14" priority="13" operator="equal">
      <formula>"P"</formula>
    </cfRule>
    <cfRule type="cellIs" dxfId="13" priority="14" operator="equal">
      <formula>"x"</formula>
    </cfRule>
  </conditionalFormatting>
  <conditionalFormatting sqref="E2:F2">
    <cfRule type="cellIs" dxfId="12" priority="9" operator="equal">
      <formula>"S"</formula>
    </cfRule>
    <cfRule type="cellIs" dxfId="11" priority="10" operator="equal">
      <formula>"P"</formula>
    </cfRule>
    <cfRule type="cellIs" dxfId="10" priority="11" operator="equal">
      <formula>"x"</formula>
    </cfRule>
  </conditionalFormatting>
  <conditionalFormatting sqref="J21">
    <cfRule type="cellIs" dxfId="9" priority="7" operator="equal">
      <formula>TRUE</formula>
    </cfRule>
    <cfRule type="cellIs" dxfId="8" priority="8" operator="equal">
      <formula>FALSE</formula>
    </cfRule>
  </conditionalFormatting>
  <conditionalFormatting sqref="D21">
    <cfRule type="cellIs" dxfId="7" priority="5" operator="equal">
      <formula>TRUE</formula>
    </cfRule>
    <cfRule type="cellIs" dxfId="6" priority="6" operator="equal">
      <formula>FALSE</formula>
    </cfRule>
  </conditionalFormatting>
  <conditionalFormatting sqref="F21">
    <cfRule type="cellIs" dxfId="5" priority="3" operator="equal">
      <formula>TRUE</formula>
    </cfRule>
    <cfRule type="cellIs" dxfId="4" priority="4" operator="equal">
      <formula>FALSE</formula>
    </cfRule>
  </conditionalFormatting>
  <conditionalFormatting sqref="H21">
    <cfRule type="cellIs" dxfId="3" priority="1" operator="equal">
      <formula>TRUE</formula>
    </cfRule>
    <cfRule type="cellIs" dxfId="2" priority="2" operator="equal">
      <formula>FALSE</formula>
    </cfRule>
  </conditionalFormatting>
  <pageMargins left="0.511811024" right="0.511811024" top="0.78740157499999996" bottom="0.78740157499999996" header="0.31496062000000002" footer="0.31496062000000002"/>
  <pageSetup scale="3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7030A0"/>
    <outlinePr summaryBelow="0"/>
  </sheetPr>
  <dimension ref="A1:O205"/>
  <sheetViews>
    <sheetView showGridLines="0" workbookViewId="0">
      <selection activeCell="A22" sqref="A22:E22"/>
    </sheetView>
  </sheetViews>
  <sheetFormatPr defaultRowHeight="14.4" x14ac:dyDescent="0.3"/>
  <cols>
    <col min="1" max="1" width="25" customWidth="1"/>
    <col min="2" max="2" width="2.33203125" customWidth="1"/>
    <col min="3" max="3" width="2.109375" customWidth="1"/>
    <col min="4" max="4" width="11.33203125" customWidth="1"/>
    <col min="5" max="5" width="0.33203125" customWidth="1"/>
    <col min="6" max="6" width="16.6640625" customWidth="1"/>
    <col min="7" max="7" width="0.5546875" customWidth="1"/>
    <col min="8" max="8" width="15.33203125" customWidth="1"/>
    <col min="9" max="9" width="0.109375" customWidth="1"/>
    <col min="10" max="10" width="0.33203125" customWidth="1"/>
    <col min="11" max="11" width="2.6640625" customWidth="1"/>
    <col min="12" max="12" width="12.6640625" customWidth="1"/>
    <col min="13" max="13" width="0.33203125" customWidth="1"/>
    <col min="14" max="15" width="8.88671875" customWidth="1"/>
  </cols>
  <sheetData>
    <row r="1" spans="1:15" ht="33" customHeight="1" x14ac:dyDescent="0.3"/>
    <row r="2" spans="1:15" ht="23.25" customHeight="1" x14ac:dyDescent="0.3">
      <c r="A2" s="468" t="s">
        <v>578</v>
      </c>
      <c r="B2" s="468"/>
      <c r="C2" s="468"/>
      <c r="D2" s="468"/>
      <c r="E2" s="468"/>
      <c r="F2" s="468"/>
      <c r="G2" s="468"/>
      <c r="H2" s="468"/>
      <c r="I2" s="468"/>
    </row>
    <row r="3" spans="1:15" ht="15.75" customHeight="1" x14ac:dyDescent="0.3">
      <c r="A3" s="469" t="s">
        <v>579</v>
      </c>
      <c r="B3" s="469"/>
      <c r="C3" s="469"/>
      <c r="D3" s="469"/>
      <c r="E3" s="469"/>
      <c r="F3" s="469"/>
      <c r="G3" s="469"/>
      <c r="H3" s="469"/>
      <c r="I3" s="469"/>
    </row>
    <row r="4" spans="1:15" ht="12" customHeight="1" x14ac:dyDescent="0.3">
      <c r="A4" s="469" t="s">
        <v>580</v>
      </c>
      <c r="B4" s="469"/>
      <c r="C4" s="469"/>
      <c r="D4" s="469"/>
    </row>
    <row r="5" spans="1:15" ht="4.5" customHeight="1" x14ac:dyDescent="0.3">
      <c r="A5" s="469"/>
      <c r="B5" s="469"/>
      <c r="C5" s="469"/>
      <c r="D5" s="469"/>
    </row>
    <row r="6" spans="1:15" ht="6" customHeight="1" x14ac:dyDescent="0.3">
      <c r="A6" s="470"/>
      <c r="B6" s="470"/>
      <c r="C6" s="470"/>
      <c r="D6" s="470"/>
      <c r="E6" s="470"/>
      <c r="F6" s="470"/>
      <c r="G6" s="470"/>
      <c r="H6" s="470"/>
      <c r="I6" s="470"/>
      <c r="J6" s="470"/>
      <c r="K6" s="470"/>
      <c r="L6" s="470"/>
      <c r="M6" s="470"/>
      <c r="N6" s="470"/>
      <c r="O6" s="470"/>
    </row>
    <row r="7" spans="1:15" ht="14.25" customHeight="1" x14ac:dyDescent="0.3">
      <c r="J7" s="471" t="s">
        <v>581</v>
      </c>
      <c r="K7" s="471"/>
      <c r="L7" s="471"/>
      <c r="M7" s="471"/>
      <c r="N7" s="471"/>
      <c r="O7" s="471"/>
    </row>
    <row r="8" spans="1:15" ht="22.5" customHeight="1" x14ac:dyDescent="0.3">
      <c r="A8" s="472" t="s">
        <v>649</v>
      </c>
      <c r="B8" s="472"/>
      <c r="C8" s="472"/>
      <c r="D8" s="472"/>
      <c r="E8" s="472"/>
      <c r="F8" s="472"/>
      <c r="G8" s="472"/>
      <c r="H8" s="472"/>
      <c r="I8" s="472"/>
      <c r="J8" s="472"/>
      <c r="K8" s="472"/>
      <c r="L8" s="472"/>
      <c r="M8" s="472"/>
      <c r="N8" s="472"/>
      <c r="O8" s="472"/>
    </row>
    <row r="9" spans="1:15" ht="2.25" customHeight="1" x14ac:dyDescent="0.3"/>
    <row r="10" spans="1:15" ht="18" customHeight="1" x14ac:dyDescent="0.3">
      <c r="A10" s="473" t="s">
        <v>650</v>
      </c>
      <c r="B10" s="473"/>
      <c r="C10" s="473"/>
      <c r="D10" s="473"/>
      <c r="E10" s="474" t="s">
        <v>589</v>
      </c>
      <c r="F10" s="474"/>
      <c r="G10" s="474" t="s">
        <v>651</v>
      </c>
      <c r="H10" s="474"/>
      <c r="I10" s="474" t="s">
        <v>652</v>
      </c>
      <c r="J10" s="474"/>
      <c r="K10" s="474"/>
      <c r="L10" s="474"/>
      <c r="M10" s="474" t="s">
        <v>653</v>
      </c>
      <c r="N10" s="474"/>
      <c r="O10" s="474"/>
    </row>
    <row r="11" spans="1:15" ht="18" customHeight="1" x14ac:dyDescent="0.3">
      <c r="A11" s="475" t="s">
        <v>654</v>
      </c>
      <c r="B11" s="475"/>
      <c r="C11" s="475"/>
      <c r="D11" s="475"/>
      <c r="E11" s="475"/>
      <c r="F11" s="476">
        <v>11313862.57</v>
      </c>
      <c r="G11" s="476"/>
      <c r="H11" s="476">
        <v>3217361.11</v>
      </c>
      <c r="I11" s="476"/>
      <c r="J11" s="476"/>
      <c r="K11" s="476">
        <v>3217361.11</v>
      </c>
      <c r="L11" s="476"/>
      <c r="M11" s="476"/>
      <c r="N11" s="476">
        <v>8096501.46</v>
      </c>
      <c r="O11" s="476"/>
    </row>
    <row r="12" spans="1:15" ht="18" customHeight="1" x14ac:dyDescent="0.3">
      <c r="A12" s="477" t="s">
        <v>655</v>
      </c>
      <c r="B12" s="477"/>
      <c r="C12" s="477"/>
      <c r="D12" s="477"/>
      <c r="E12" s="477"/>
      <c r="F12" s="476">
        <v>5723862.5700000003</v>
      </c>
      <c r="G12" s="476"/>
      <c r="H12" s="476">
        <v>3217361.11</v>
      </c>
      <c r="I12" s="476"/>
      <c r="J12" s="476"/>
      <c r="K12" s="476">
        <v>3217361.11</v>
      </c>
      <c r="L12" s="476"/>
      <c r="M12" s="476"/>
      <c r="N12" s="476">
        <v>2506501.46</v>
      </c>
      <c r="O12" s="476"/>
    </row>
    <row r="13" spans="1:15" ht="18" customHeight="1" x14ac:dyDescent="0.3">
      <c r="A13" s="478" t="s">
        <v>656</v>
      </c>
      <c r="B13" s="478"/>
      <c r="C13" s="478"/>
      <c r="D13" s="478"/>
      <c r="E13" s="478"/>
      <c r="F13" s="476">
        <v>2691902.12</v>
      </c>
      <c r="G13" s="476"/>
      <c r="H13" s="476">
        <v>1595258</v>
      </c>
      <c r="I13" s="476"/>
      <c r="J13" s="476"/>
      <c r="K13" s="476">
        <v>1595258</v>
      </c>
      <c r="L13" s="476"/>
      <c r="M13" s="476"/>
      <c r="N13" s="476">
        <v>1096644.1200000001</v>
      </c>
      <c r="O13" s="476"/>
    </row>
    <row r="14" spans="1:15" ht="18" customHeight="1" x14ac:dyDescent="0.3">
      <c r="A14" s="479" t="s">
        <v>657</v>
      </c>
      <c r="B14" s="479"/>
      <c r="C14" s="479"/>
      <c r="D14" s="479"/>
      <c r="E14" s="479"/>
      <c r="F14" s="476">
        <v>2691902.12</v>
      </c>
      <c r="G14" s="476"/>
      <c r="H14" s="476">
        <v>1595258</v>
      </c>
      <c r="I14" s="476"/>
      <c r="J14" s="476"/>
      <c r="K14" s="476">
        <v>1595258</v>
      </c>
      <c r="L14" s="476"/>
      <c r="M14" s="476"/>
      <c r="N14" s="476">
        <v>1096644.1200000001</v>
      </c>
      <c r="O14" s="476"/>
    </row>
    <row r="15" spans="1:15" ht="18" customHeight="1" x14ac:dyDescent="0.3">
      <c r="A15" s="480" t="s">
        <v>658</v>
      </c>
      <c r="B15" s="480"/>
      <c r="C15" s="480"/>
      <c r="D15" s="480"/>
      <c r="E15" s="480"/>
      <c r="F15" s="476">
        <v>2691902.12</v>
      </c>
      <c r="G15" s="476"/>
      <c r="H15" s="476">
        <v>1595258</v>
      </c>
      <c r="I15" s="476"/>
      <c r="J15" s="476"/>
      <c r="K15" s="476">
        <v>1595258</v>
      </c>
      <c r="L15" s="476"/>
      <c r="M15" s="476"/>
      <c r="N15" s="476">
        <v>1096644.1200000001</v>
      </c>
      <c r="O15" s="476"/>
    </row>
    <row r="16" spans="1:15" ht="18" customHeight="1" x14ac:dyDescent="0.3">
      <c r="A16" s="481" t="s">
        <v>659</v>
      </c>
      <c r="B16" s="481"/>
      <c r="C16" s="481"/>
      <c r="D16" s="481"/>
      <c r="E16" s="481"/>
      <c r="F16" s="482">
        <v>2050324.46</v>
      </c>
      <c r="G16" s="482"/>
      <c r="H16" s="482">
        <v>1166876.21</v>
      </c>
      <c r="I16" s="482"/>
      <c r="J16" s="482"/>
      <c r="K16" s="482">
        <v>1166876.21</v>
      </c>
      <c r="L16" s="482"/>
      <c r="M16" s="482"/>
      <c r="N16" s="482">
        <v>883448.25</v>
      </c>
      <c r="O16" s="482"/>
    </row>
    <row r="17" spans="1:15" ht="18" customHeight="1" x14ac:dyDescent="0.3">
      <c r="A17" s="481" t="s">
        <v>660</v>
      </c>
      <c r="B17" s="481"/>
      <c r="C17" s="481"/>
      <c r="D17" s="481"/>
      <c r="E17" s="481"/>
      <c r="F17" s="482">
        <v>369690.77</v>
      </c>
      <c r="G17" s="482"/>
      <c r="H17" s="482">
        <v>316515.01</v>
      </c>
      <c r="I17" s="482"/>
      <c r="J17" s="482"/>
      <c r="K17" s="482">
        <v>316515.01</v>
      </c>
      <c r="L17" s="482"/>
      <c r="M17" s="482"/>
      <c r="N17" s="482">
        <v>53175.76</v>
      </c>
      <c r="O17" s="482"/>
    </row>
    <row r="18" spans="1:15" ht="18" customHeight="1" x14ac:dyDescent="0.3">
      <c r="A18" s="481" t="s">
        <v>661</v>
      </c>
      <c r="B18" s="481"/>
      <c r="C18" s="481"/>
      <c r="D18" s="481"/>
      <c r="E18" s="481"/>
      <c r="F18" s="482">
        <v>172277.64</v>
      </c>
      <c r="G18" s="482"/>
      <c r="H18" s="482">
        <v>34105.96</v>
      </c>
      <c r="I18" s="482"/>
      <c r="J18" s="482"/>
      <c r="K18" s="482">
        <v>34105.96</v>
      </c>
      <c r="L18" s="482"/>
      <c r="M18" s="482"/>
      <c r="N18" s="482">
        <v>138171.68</v>
      </c>
      <c r="O18" s="482"/>
    </row>
    <row r="19" spans="1:15" ht="18" customHeight="1" x14ac:dyDescent="0.3">
      <c r="A19" s="481" t="s">
        <v>662</v>
      </c>
      <c r="B19" s="481"/>
      <c r="C19" s="481"/>
      <c r="D19" s="481"/>
      <c r="E19" s="481"/>
      <c r="F19" s="482">
        <v>99609.25</v>
      </c>
      <c r="G19" s="482"/>
      <c r="H19" s="482">
        <v>72016.19</v>
      </c>
      <c r="I19" s="482"/>
      <c r="J19" s="482"/>
      <c r="K19" s="482">
        <v>72016.19</v>
      </c>
      <c r="L19" s="482"/>
      <c r="M19" s="482"/>
      <c r="N19" s="482">
        <v>27593.06</v>
      </c>
      <c r="O19" s="482"/>
    </row>
    <row r="20" spans="1:15" ht="22.5" customHeight="1" x14ac:dyDescent="0.3">
      <c r="A20" s="481" t="s">
        <v>663</v>
      </c>
      <c r="B20" s="481"/>
      <c r="C20" s="481"/>
      <c r="D20" s="481"/>
      <c r="E20" s="481"/>
      <c r="F20" s="482">
        <v>0</v>
      </c>
      <c r="G20" s="482"/>
      <c r="H20" s="482">
        <v>1083.55</v>
      </c>
      <c r="I20" s="482"/>
      <c r="J20" s="482"/>
      <c r="K20" s="482">
        <v>1083.55</v>
      </c>
      <c r="L20" s="482"/>
      <c r="M20" s="482"/>
      <c r="N20" s="482">
        <v>-1083.55</v>
      </c>
      <c r="O20" s="482"/>
    </row>
    <row r="21" spans="1:15" ht="22.5" customHeight="1" x14ac:dyDescent="0.3">
      <c r="A21" s="481" t="s">
        <v>664</v>
      </c>
      <c r="B21" s="481"/>
      <c r="C21" s="481"/>
      <c r="D21" s="481"/>
      <c r="E21" s="481"/>
      <c r="F21" s="482">
        <v>0</v>
      </c>
      <c r="G21" s="482"/>
      <c r="H21" s="482">
        <v>0</v>
      </c>
      <c r="I21" s="482"/>
      <c r="J21" s="482"/>
      <c r="K21" s="482">
        <v>0</v>
      </c>
      <c r="L21" s="482"/>
      <c r="M21" s="482"/>
      <c r="N21" s="482">
        <v>0</v>
      </c>
      <c r="O21" s="482"/>
    </row>
    <row r="22" spans="1:15" ht="21.75" customHeight="1" x14ac:dyDescent="0.3">
      <c r="A22" s="481" t="s">
        <v>665</v>
      </c>
      <c r="B22" s="481"/>
      <c r="C22" s="481"/>
      <c r="D22" s="481"/>
      <c r="E22" s="481"/>
      <c r="F22" s="482">
        <v>0</v>
      </c>
      <c r="G22" s="482"/>
      <c r="H22" s="482">
        <v>4661.08</v>
      </c>
      <c r="I22" s="482"/>
      <c r="J22" s="482"/>
      <c r="K22" s="482">
        <v>4661.08</v>
      </c>
      <c r="L22" s="482"/>
      <c r="M22" s="482"/>
      <c r="N22" s="482">
        <v>-4661.08</v>
      </c>
      <c r="O22" s="482"/>
    </row>
    <row r="23" spans="1:15" ht="22.5" customHeight="1" x14ac:dyDescent="0.3">
      <c r="A23" s="481" t="s">
        <v>666</v>
      </c>
      <c r="B23" s="481"/>
      <c r="C23" s="481"/>
      <c r="D23" s="481"/>
      <c r="E23" s="481"/>
      <c r="F23" s="482">
        <v>0</v>
      </c>
      <c r="G23" s="482"/>
      <c r="H23" s="482">
        <v>0</v>
      </c>
      <c r="I23" s="482"/>
      <c r="J23" s="482"/>
      <c r="K23" s="482">
        <v>0</v>
      </c>
      <c r="L23" s="482"/>
      <c r="M23" s="482"/>
      <c r="N23" s="482">
        <v>0</v>
      </c>
      <c r="O23" s="482"/>
    </row>
    <row r="24" spans="1:15" ht="18" customHeight="1" x14ac:dyDescent="0.3">
      <c r="A24" s="478" t="s">
        <v>667</v>
      </c>
      <c r="B24" s="478"/>
      <c r="C24" s="478"/>
      <c r="D24" s="478"/>
      <c r="E24" s="478"/>
      <c r="F24" s="476">
        <v>0</v>
      </c>
      <c r="G24" s="476"/>
      <c r="H24" s="476">
        <v>0</v>
      </c>
      <c r="I24" s="476"/>
      <c r="J24" s="476"/>
      <c r="K24" s="476">
        <v>0</v>
      </c>
      <c r="L24" s="476"/>
      <c r="M24" s="476"/>
      <c r="N24" s="476">
        <v>0</v>
      </c>
      <c r="O24" s="476"/>
    </row>
    <row r="25" spans="1:15" ht="18" customHeight="1" x14ac:dyDescent="0.3">
      <c r="A25" s="483" t="s">
        <v>668</v>
      </c>
      <c r="B25" s="483"/>
      <c r="C25" s="483"/>
      <c r="D25" s="483"/>
      <c r="E25" s="483"/>
      <c r="F25" s="482">
        <v>0</v>
      </c>
      <c r="G25" s="482"/>
      <c r="H25" s="482">
        <v>0</v>
      </c>
      <c r="I25" s="482"/>
      <c r="J25" s="482"/>
      <c r="K25" s="482">
        <v>0</v>
      </c>
      <c r="L25" s="482"/>
      <c r="M25" s="482"/>
      <c r="N25" s="482">
        <v>0</v>
      </c>
      <c r="O25" s="482"/>
    </row>
    <row r="26" spans="1:15" ht="18" customHeight="1" x14ac:dyDescent="0.3">
      <c r="A26" s="483" t="s">
        <v>669</v>
      </c>
      <c r="B26" s="483"/>
      <c r="C26" s="483"/>
      <c r="D26" s="483"/>
      <c r="E26" s="483"/>
      <c r="F26" s="482">
        <v>0</v>
      </c>
      <c r="G26" s="482"/>
      <c r="H26" s="482">
        <v>0</v>
      </c>
      <c r="I26" s="482"/>
      <c r="J26" s="482"/>
      <c r="K26" s="482">
        <v>0</v>
      </c>
      <c r="L26" s="482"/>
      <c r="M26" s="482"/>
      <c r="N26" s="482">
        <v>0</v>
      </c>
      <c r="O26" s="482"/>
    </row>
    <row r="27" spans="1:15" ht="18" customHeight="1" x14ac:dyDescent="0.3">
      <c r="A27" s="483" t="s">
        <v>670</v>
      </c>
      <c r="B27" s="483"/>
      <c r="C27" s="483"/>
      <c r="D27" s="483"/>
      <c r="E27" s="483"/>
      <c r="F27" s="482">
        <v>0</v>
      </c>
      <c r="G27" s="482"/>
      <c r="H27" s="482">
        <v>0</v>
      </c>
      <c r="I27" s="482"/>
      <c r="J27" s="482"/>
      <c r="K27" s="482">
        <v>0</v>
      </c>
      <c r="L27" s="482"/>
      <c r="M27" s="482"/>
      <c r="N27" s="482">
        <v>0</v>
      </c>
      <c r="O27" s="482"/>
    </row>
    <row r="28" spans="1:15" ht="18" customHeight="1" x14ac:dyDescent="0.3">
      <c r="A28" s="483" t="s">
        <v>671</v>
      </c>
      <c r="B28" s="483"/>
      <c r="C28" s="483"/>
      <c r="D28" s="483"/>
      <c r="E28" s="483"/>
      <c r="F28" s="482">
        <v>0</v>
      </c>
      <c r="G28" s="482"/>
      <c r="H28" s="482">
        <v>0</v>
      </c>
      <c r="I28" s="482"/>
      <c r="J28" s="482"/>
      <c r="K28" s="482">
        <v>0</v>
      </c>
      <c r="L28" s="482"/>
      <c r="M28" s="482"/>
      <c r="N28" s="482">
        <v>0</v>
      </c>
      <c r="O28" s="482"/>
    </row>
    <row r="29" spans="1:15" ht="18" customHeight="1" x14ac:dyDescent="0.3">
      <c r="A29" s="483" t="s">
        <v>672</v>
      </c>
      <c r="B29" s="483"/>
      <c r="C29" s="483"/>
      <c r="D29" s="483"/>
      <c r="E29" s="483"/>
      <c r="F29" s="482">
        <v>0</v>
      </c>
      <c r="G29" s="482"/>
      <c r="H29" s="482">
        <v>0</v>
      </c>
      <c r="I29" s="482"/>
      <c r="J29" s="482"/>
      <c r="K29" s="482">
        <v>0</v>
      </c>
      <c r="L29" s="482"/>
      <c r="M29" s="482"/>
      <c r="N29" s="482">
        <v>0</v>
      </c>
      <c r="O29" s="482"/>
    </row>
    <row r="30" spans="1:15" ht="18" customHeight="1" x14ac:dyDescent="0.3">
      <c r="A30" s="483" t="s">
        <v>673</v>
      </c>
      <c r="B30" s="483"/>
      <c r="C30" s="483"/>
      <c r="D30" s="483"/>
      <c r="E30" s="483"/>
      <c r="F30" s="482">
        <v>0</v>
      </c>
      <c r="G30" s="482"/>
      <c r="H30" s="482">
        <v>0</v>
      </c>
      <c r="I30" s="482"/>
      <c r="J30" s="482"/>
      <c r="K30" s="482">
        <v>0</v>
      </c>
      <c r="L30" s="482"/>
      <c r="M30" s="482"/>
      <c r="N30" s="482">
        <v>0</v>
      </c>
      <c r="O30" s="482"/>
    </row>
    <row r="31" spans="1:15" ht="18" customHeight="1" x14ac:dyDescent="0.3">
      <c r="A31" s="483" t="s">
        <v>674</v>
      </c>
      <c r="B31" s="483"/>
      <c r="C31" s="483"/>
      <c r="D31" s="483"/>
      <c r="E31" s="483"/>
      <c r="F31" s="482">
        <v>0</v>
      </c>
      <c r="G31" s="482"/>
      <c r="H31" s="482">
        <v>0</v>
      </c>
      <c r="I31" s="482"/>
      <c r="J31" s="482"/>
      <c r="K31" s="482">
        <v>0</v>
      </c>
      <c r="L31" s="482"/>
      <c r="M31" s="482"/>
      <c r="N31" s="482">
        <v>0</v>
      </c>
      <c r="O31" s="482"/>
    </row>
    <row r="32" spans="1:15" ht="18" customHeight="1" x14ac:dyDescent="0.3">
      <c r="A32" s="483" t="s">
        <v>675</v>
      </c>
      <c r="B32" s="483"/>
      <c r="C32" s="483"/>
      <c r="D32" s="483"/>
      <c r="E32" s="483"/>
      <c r="F32" s="482">
        <v>0</v>
      </c>
      <c r="G32" s="482"/>
      <c r="H32" s="482">
        <v>0</v>
      </c>
      <c r="I32" s="482"/>
      <c r="J32" s="482"/>
      <c r="K32" s="482">
        <v>0</v>
      </c>
      <c r="L32" s="482"/>
      <c r="M32" s="482"/>
      <c r="N32" s="482">
        <v>0</v>
      </c>
      <c r="O32" s="482"/>
    </row>
    <row r="33" spans="1:15" ht="18" customHeight="1" x14ac:dyDescent="0.3">
      <c r="A33" s="483" t="s">
        <v>676</v>
      </c>
      <c r="B33" s="483"/>
      <c r="C33" s="483"/>
      <c r="D33" s="483"/>
      <c r="E33" s="483"/>
      <c r="F33" s="482">
        <v>0</v>
      </c>
      <c r="G33" s="482"/>
      <c r="H33" s="482">
        <v>0</v>
      </c>
      <c r="I33" s="482"/>
      <c r="J33" s="482"/>
      <c r="K33" s="482">
        <v>0</v>
      </c>
      <c r="L33" s="482"/>
      <c r="M33" s="482"/>
      <c r="N33" s="482">
        <v>0</v>
      </c>
      <c r="O33" s="482"/>
    </row>
    <row r="34" spans="1:15" ht="18" customHeight="1" x14ac:dyDescent="0.3">
      <c r="A34" s="483" t="s">
        <v>677</v>
      </c>
      <c r="B34" s="483"/>
      <c r="C34" s="483"/>
      <c r="D34" s="483"/>
      <c r="E34" s="483"/>
      <c r="F34" s="482">
        <v>0</v>
      </c>
      <c r="G34" s="482"/>
      <c r="H34" s="482">
        <v>0</v>
      </c>
      <c r="I34" s="482"/>
      <c r="J34" s="482"/>
      <c r="K34" s="482">
        <v>0</v>
      </c>
      <c r="L34" s="482"/>
      <c r="M34" s="482"/>
      <c r="N34" s="482">
        <v>0</v>
      </c>
      <c r="O34" s="482"/>
    </row>
    <row r="35" spans="1:15" ht="18" customHeight="1" x14ac:dyDescent="0.3">
      <c r="A35" s="483" t="s">
        <v>678</v>
      </c>
      <c r="B35" s="483"/>
      <c r="C35" s="483"/>
      <c r="D35" s="483"/>
      <c r="E35" s="483"/>
      <c r="F35" s="482">
        <v>0</v>
      </c>
      <c r="G35" s="482"/>
      <c r="H35" s="482">
        <v>0</v>
      </c>
      <c r="I35" s="482"/>
      <c r="J35" s="482"/>
      <c r="K35" s="482">
        <v>0</v>
      </c>
      <c r="L35" s="482"/>
      <c r="M35" s="482"/>
      <c r="N35" s="482">
        <v>0</v>
      </c>
      <c r="O35" s="482"/>
    </row>
    <row r="36" spans="1:15" ht="18" customHeight="1" x14ac:dyDescent="0.3">
      <c r="A36" s="483" t="s">
        <v>679</v>
      </c>
      <c r="B36" s="483"/>
      <c r="C36" s="483"/>
      <c r="D36" s="483"/>
      <c r="E36" s="483"/>
      <c r="F36" s="482">
        <v>0</v>
      </c>
      <c r="G36" s="482"/>
      <c r="H36" s="482">
        <v>0</v>
      </c>
      <c r="I36" s="482"/>
      <c r="J36" s="482"/>
      <c r="K36" s="482">
        <v>0</v>
      </c>
      <c r="L36" s="482"/>
      <c r="M36" s="482"/>
      <c r="N36" s="482">
        <v>0</v>
      </c>
      <c r="O36" s="482"/>
    </row>
    <row r="37" spans="1:15" ht="18" customHeight="1" x14ac:dyDescent="0.3">
      <c r="A37" s="483" t="s">
        <v>680</v>
      </c>
      <c r="B37" s="483"/>
      <c r="C37" s="483"/>
      <c r="D37" s="483"/>
      <c r="E37" s="483"/>
      <c r="F37" s="482">
        <v>0</v>
      </c>
      <c r="G37" s="482"/>
      <c r="H37" s="482">
        <v>0</v>
      </c>
      <c r="I37" s="482"/>
      <c r="J37" s="482"/>
      <c r="K37" s="482">
        <v>0</v>
      </c>
      <c r="L37" s="482"/>
      <c r="M37" s="482"/>
      <c r="N37" s="482">
        <v>0</v>
      </c>
      <c r="O37" s="482"/>
    </row>
    <row r="38" spans="1:15" ht="18" customHeight="1" x14ac:dyDescent="0.3">
      <c r="A38" s="483" t="s">
        <v>681</v>
      </c>
      <c r="B38" s="483"/>
      <c r="C38" s="483"/>
      <c r="D38" s="483"/>
      <c r="E38" s="483"/>
      <c r="F38" s="482">
        <v>0</v>
      </c>
      <c r="G38" s="482"/>
      <c r="H38" s="482">
        <v>0</v>
      </c>
      <c r="I38" s="482"/>
      <c r="J38" s="482"/>
      <c r="K38" s="482">
        <v>0</v>
      </c>
      <c r="L38" s="482"/>
      <c r="M38" s="482"/>
      <c r="N38" s="482">
        <v>0</v>
      </c>
      <c r="O38" s="482"/>
    </row>
    <row r="39" spans="1:15" ht="18" customHeight="1" x14ac:dyDescent="0.3">
      <c r="A39" s="483" t="s">
        <v>682</v>
      </c>
      <c r="B39" s="483"/>
      <c r="C39" s="483"/>
      <c r="D39" s="483"/>
      <c r="E39" s="483"/>
      <c r="F39" s="482">
        <v>0</v>
      </c>
      <c r="G39" s="482"/>
      <c r="H39" s="482">
        <v>0</v>
      </c>
      <c r="I39" s="482"/>
      <c r="J39" s="482"/>
      <c r="K39" s="482">
        <v>0</v>
      </c>
      <c r="L39" s="482"/>
      <c r="M39" s="482"/>
      <c r="N39" s="482">
        <v>0</v>
      </c>
      <c r="O39" s="482"/>
    </row>
    <row r="40" spans="1:15" ht="18" customHeight="1" x14ac:dyDescent="0.3">
      <c r="A40" s="483" t="s">
        <v>683</v>
      </c>
      <c r="B40" s="483"/>
      <c r="C40" s="483"/>
      <c r="D40" s="483"/>
      <c r="E40" s="483"/>
      <c r="F40" s="482">
        <v>0</v>
      </c>
      <c r="G40" s="482"/>
      <c r="H40" s="482">
        <v>0</v>
      </c>
      <c r="I40" s="482"/>
      <c r="J40" s="482"/>
      <c r="K40" s="482">
        <v>0</v>
      </c>
      <c r="L40" s="482"/>
      <c r="M40" s="482"/>
      <c r="N40" s="482">
        <v>0</v>
      </c>
      <c r="O40" s="482"/>
    </row>
    <row r="41" spans="1:15" ht="18" customHeight="1" x14ac:dyDescent="0.3">
      <c r="A41" s="483" t="s">
        <v>684</v>
      </c>
      <c r="B41" s="483"/>
      <c r="C41" s="483"/>
      <c r="D41" s="483"/>
      <c r="E41" s="483"/>
      <c r="F41" s="482">
        <v>0</v>
      </c>
      <c r="G41" s="482"/>
      <c r="H41" s="482">
        <v>0</v>
      </c>
      <c r="I41" s="482"/>
      <c r="J41" s="482"/>
      <c r="K41" s="482">
        <v>0</v>
      </c>
      <c r="L41" s="482"/>
      <c r="M41" s="482"/>
      <c r="N41" s="482">
        <v>0</v>
      </c>
      <c r="O41" s="482"/>
    </row>
    <row r="42" spans="1:15" ht="18" customHeight="1" x14ac:dyDescent="0.3">
      <c r="A42" s="483" t="s">
        <v>685</v>
      </c>
      <c r="B42" s="483"/>
      <c r="C42" s="483"/>
      <c r="D42" s="483"/>
      <c r="E42" s="483"/>
      <c r="F42" s="482">
        <v>0</v>
      </c>
      <c r="G42" s="482"/>
      <c r="H42" s="482">
        <v>0</v>
      </c>
      <c r="I42" s="482"/>
      <c r="J42" s="482"/>
      <c r="K42" s="482">
        <v>0</v>
      </c>
      <c r="L42" s="482"/>
      <c r="M42" s="482"/>
      <c r="N42" s="482">
        <v>0</v>
      </c>
      <c r="O42" s="482"/>
    </row>
    <row r="43" spans="1:15" ht="18" customHeight="1" x14ac:dyDescent="0.3">
      <c r="A43" s="483" t="s">
        <v>686</v>
      </c>
      <c r="B43" s="483"/>
      <c r="C43" s="483"/>
      <c r="D43" s="483"/>
      <c r="E43" s="483"/>
      <c r="F43" s="482">
        <v>0</v>
      </c>
      <c r="G43" s="482"/>
      <c r="H43" s="482">
        <v>0</v>
      </c>
      <c r="I43" s="482"/>
      <c r="J43" s="482"/>
      <c r="K43" s="482">
        <v>0</v>
      </c>
      <c r="L43" s="482"/>
      <c r="M43" s="482"/>
      <c r="N43" s="482">
        <v>0</v>
      </c>
      <c r="O43" s="482"/>
    </row>
    <row r="44" spans="1:15" ht="18" customHeight="1" x14ac:dyDescent="0.3">
      <c r="A44" s="483" t="s">
        <v>687</v>
      </c>
      <c r="B44" s="483"/>
      <c r="C44" s="483"/>
      <c r="D44" s="483"/>
      <c r="E44" s="483"/>
      <c r="F44" s="482">
        <v>0</v>
      </c>
      <c r="G44" s="482"/>
      <c r="H44" s="482">
        <v>0</v>
      </c>
      <c r="I44" s="482"/>
      <c r="J44" s="482"/>
      <c r="K44" s="482">
        <v>0</v>
      </c>
      <c r="L44" s="482"/>
      <c r="M44" s="482"/>
      <c r="N44" s="482">
        <v>0</v>
      </c>
      <c r="O44" s="482"/>
    </row>
    <row r="45" spans="1:15" ht="18" customHeight="1" x14ac:dyDescent="0.3">
      <c r="A45" s="483" t="s">
        <v>688</v>
      </c>
      <c r="B45" s="483"/>
      <c r="C45" s="483"/>
      <c r="D45" s="483"/>
      <c r="E45" s="483"/>
      <c r="F45" s="482">
        <v>0</v>
      </c>
      <c r="G45" s="482"/>
      <c r="H45" s="482">
        <v>0</v>
      </c>
      <c r="I45" s="482"/>
      <c r="J45" s="482"/>
      <c r="K45" s="482">
        <v>0</v>
      </c>
      <c r="L45" s="482"/>
      <c r="M45" s="482"/>
      <c r="N45" s="482">
        <v>0</v>
      </c>
      <c r="O45" s="482"/>
    </row>
    <row r="46" spans="1:15" ht="18" customHeight="1" x14ac:dyDescent="0.3">
      <c r="A46" s="483" t="s">
        <v>689</v>
      </c>
      <c r="B46" s="483"/>
      <c r="C46" s="483"/>
      <c r="D46" s="483"/>
      <c r="E46" s="483"/>
      <c r="F46" s="482">
        <v>0</v>
      </c>
      <c r="G46" s="482"/>
      <c r="H46" s="482">
        <v>0</v>
      </c>
      <c r="I46" s="482"/>
      <c r="J46" s="482"/>
      <c r="K46" s="482">
        <v>0</v>
      </c>
      <c r="L46" s="482"/>
      <c r="M46" s="482"/>
      <c r="N46" s="482">
        <v>0</v>
      </c>
      <c r="O46" s="482"/>
    </row>
    <row r="47" spans="1:15" ht="18" customHeight="1" x14ac:dyDescent="0.3">
      <c r="A47" s="483" t="s">
        <v>690</v>
      </c>
      <c r="B47" s="483"/>
      <c r="C47" s="483"/>
      <c r="D47" s="483"/>
      <c r="E47" s="483"/>
      <c r="F47" s="482">
        <v>0</v>
      </c>
      <c r="G47" s="482"/>
      <c r="H47" s="482">
        <v>0</v>
      </c>
      <c r="I47" s="482"/>
      <c r="J47" s="482"/>
      <c r="K47" s="482">
        <v>0</v>
      </c>
      <c r="L47" s="482"/>
      <c r="M47" s="482"/>
      <c r="N47" s="482">
        <v>0</v>
      </c>
      <c r="O47" s="482"/>
    </row>
    <row r="48" spans="1:15" ht="18" customHeight="1" x14ac:dyDescent="0.3">
      <c r="A48" s="483" t="s">
        <v>691</v>
      </c>
      <c r="B48" s="483"/>
      <c r="C48" s="483"/>
      <c r="D48" s="483"/>
      <c r="E48" s="483"/>
      <c r="F48" s="482">
        <v>0</v>
      </c>
      <c r="G48" s="482"/>
      <c r="H48" s="482">
        <v>0</v>
      </c>
      <c r="I48" s="482"/>
      <c r="J48" s="482"/>
      <c r="K48" s="482">
        <v>0</v>
      </c>
      <c r="L48" s="482"/>
      <c r="M48" s="482"/>
      <c r="N48" s="482">
        <v>0</v>
      </c>
      <c r="O48" s="482"/>
    </row>
    <row r="49" spans="1:15" ht="18" customHeight="1" x14ac:dyDescent="0.3">
      <c r="A49" s="483" t="s">
        <v>692</v>
      </c>
      <c r="B49" s="483"/>
      <c r="C49" s="483"/>
      <c r="D49" s="483"/>
      <c r="E49" s="483"/>
      <c r="F49" s="482">
        <v>0</v>
      </c>
      <c r="G49" s="482"/>
      <c r="H49" s="482">
        <v>0</v>
      </c>
      <c r="I49" s="482"/>
      <c r="J49" s="482"/>
      <c r="K49" s="482">
        <v>0</v>
      </c>
      <c r="L49" s="482"/>
      <c r="M49" s="482"/>
      <c r="N49" s="482">
        <v>0</v>
      </c>
      <c r="O49" s="482"/>
    </row>
    <row r="50" spans="1:15" ht="18" customHeight="1" x14ac:dyDescent="0.3">
      <c r="A50" s="483" t="s">
        <v>693</v>
      </c>
      <c r="B50" s="483"/>
      <c r="C50" s="483"/>
      <c r="D50" s="483"/>
      <c r="E50" s="483"/>
      <c r="F50" s="482">
        <v>0</v>
      </c>
      <c r="G50" s="482"/>
      <c r="H50" s="482">
        <v>0</v>
      </c>
      <c r="I50" s="482"/>
      <c r="J50" s="482"/>
      <c r="K50" s="482">
        <v>0</v>
      </c>
      <c r="L50" s="482"/>
      <c r="M50" s="482"/>
      <c r="N50" s="482">
        <v>0</v>
      </c>
      <c r="O50" s="482"/>
    </row>
    <row r="51" spans="1:15" ht="18" customHeight="1" x14ac:dyDescent="0.3">
      <c r="A51" s="483" t="s">
        <v>694</v>
      </c>
      <c r="B51" s="483"/>
      <c r="C51" s="483"/>
      <c r="D51" s="483"/>
      <c r="E51" s="483"/>
      <c r="F51" s="482">
        <v>0</v>
      </c>
      <c r="G51" s="482"/>
      <c r="H51" s="482">
        <v>0</v>
      </c>
      <c r="I51" s="482"/>
      <c r="J51" s="482"/>
      <c r="K51" s="482">
        <v>0</v>
      </c>
      <c r="L51" s="482"/>
      <c r="M51" s="482"/>
      <c r="N51" s="482">
        <v>0</v>
      </c>
      <c r="O51" s="482"/>
    </row>
    <row r="52" spans="1:15" ht="18" customHeight="1" x14ac:dyDescent="0.3">
      <c r="A52" s="483" t="s">
        <v>695</v>
      </c>
      <c r="B52" s="483"/>
      <c r="C52" s="483"/>
      <c r="D52" s="483"/>
      <c r="E52" s="483"/>
      <c r="F52" s="482">
        <v>0</v>
      </c>
      <c r="G52" s="482"/>
      <c r="H52" s="482">
        <v>0</v>
      </c>
      <c r="I52" s="482"/>
      <c r="J52" s="482"/>
      <c r="K52" s="482">
        <v>0</v>
      </c>
      <c r="L52" s="482"/>
      <c r="M52" s="482"/>
      <c r="N52" s="482">
        <v>0</v>
      </c>
      <c r="O52" s="482"/>
    </row>
    <row r="53" spans="1:15" ht="18" customHeight="1" x14ac:dyDescent="0.3">
      <c r="A53" s="478" t="s">
        <v>696</v>
      </c>
      <c r="B53" s="478"/>
      <c r="C53" s="478"/>
      <c r="D53" s="478"/>
      <c r="E53" s="478"/>
      <c r="F53" s="476">
        <v>0</v>
      </c>
      <c r="G53" s="476"/>
      <c r="H53" s="476">
        <v>0</v>
      </c>
      <c r="I53" s="476"/>
      <c r="J53" s="476"/>
      <c r="K53" s="476">
        <v>0</v>
      </c>
      <c r="L53" s="476"/>
      <c r="M53" s="476"/>
      <c r="N53" s="476">
        <v>0</v>
      </c>
      <c r="O53" s="476"/>
    </row>
    <row r="54" spans="1:15" ht="18" customHeight="1" x14ac:dyDescent="0.3">
      <c r="A54" s="479" t="s">
        <v>697</v>
      </c>
      <c r="B54" s="479"/>
      <c r="C54" s="479"/>
      <c r="D54" s="479"/>
      <c r="E54" s="479"/>
      <c r="F54" s="476">
        <v>0</v>
      </c>
      <c r="G54" s="476"/>
      <c r="H54" s="476">
        <v>0</v>
      </c>
      <c r="I54" s="476"/>
      <c r="J54" s="476"/>
      <c r="K54" s="476">
        <v>0</v>
      </c>
      <c r="L54" s="476"/>
      <c r="M54" s="476"/>
      <c r="N54" s="476">
        <v>0</v>
      </c>
      <c r="O54" s="476"/>
    </row>
    <row r="55" spans="1:15" ht="18" customHeight="1" x14ac:dyDescent="0.3">
      <c r="A55" s="484" t="s">
        <v>698</v>
      </c>
      <c r="B55" s="484"/>
      <c r="C55" s="484"/>
      <c r="D55" s="484"/>
      <c r="E55" s="484"/>
      <c r="F55" s="482">
        <v>0</v>
      </c>
      <c r="G55" s="482"/>
      <c r="H55" s="482">
        <v>0</v>
      </c>
      <c r="I55" s="482"/>
      <c r="J55" s="482"/>
      <c r="K55" s="482">
        <v>0</v>
      </c>
      <c r="L55" s="482"/>
      <c r="M55" s="482"/>
      <c r="N55" s="482">
        <v>0</v>
      </c>
      <c r="O55" s="482"/>
    </row>
    <row r="56" spans="1:15" ht="18" customHeight="1" x14ac:dyDescent="0.3">
      <c r="A56" s="479" t="s">
        <v>699</v>
      </c>
      <c r="B56" s="479"/>
      <c r="C56" s="479"/>
      <c r="D56" s="479"/>
      <c r="E56" s="479"/>
      <c r="F56" s="476">
        <v>0</v>
      </c>
      <c r="G56" s="476"/>
      <c r="H56" s="476">
        <v>0</v>
      </c>
      <c r="I56" s="476"/>
      <c r="J56" s="476"/>
      <c r="K56" s="476">
        <v>0</v>
      </c>
      <c r="L56" s="476"/>
      <c r="M56" s="476"/>
      <c r="N56" s="476">
        <v>0</v>
      </c>
      <c r="O56" s="476"/>
    </row>
    <row r="57" spans="1:15" ht="18" customHeight="1" x14ac:dyDescent="0.3">
      <c r="A57" s="484" t="s">
        <v>700</v>
      </c>
      <c r="B57" s="484"/>
      <c r="C57" s="484"/>
      <c r="D57" s="484"/>
      <c r="E57" s="484"/>
      <c r="F57" s="482">
        <v>0</v>
      </c>
      <c r="G57" s="482"/>
      <c r="H57" s="482">
        <v>0</v>
      </c>
      <c r="I57" s="482"/>
      <c r="J57" s="482"/>
      <c r="K57" s="482">
        <v>0</v>
      </c>
      <c r="L57" s="482"/>
      <c r="M57" s="482"/>
      <c r="N57" s="482">
        <v>0</v>
      </c>
      <c r="O57" s="482"/>
    </row>
    <row r="58" spans="1:15" ht="18" customHeight="1" x14ac:dyDescent="0.3">
      <c r="A58" s="478" t="s">
        <v>701</v>
      </c>
      <c r="B58" s="478"/>
      <c r="C58" s="478"/>
      <c r="D58" s="478"/>
      <c r="E58" s="478"/>
      <c r="F58" s="476">
        <v>1814966.75</v>
      </c>
      <c r="G58" s="476"/>
      <c r="H58" s="476">
        <v>938268.58</v>
      </c>
      <c r="I58" s="476"/>
      <c r="J58" s="476"/>
      <c r="K58" s="476">
        <v>938268.58</v>
      </c>
      <c r="L58" s="476"/>
      <c r="M58" s="476"/>
      <c r="N58" s="476">
        <v>876698.17</v>
      </c>
      <c r="O58" s="476"/>
    </row>
    <row r="59" spans="1:15" ht="18" customHeight="1" x14ac:dyDescent="0.3">
      <c r="A59" s="479" t="s">
        <v>702</v>
      </c>
      <c r="B59" s="479"/>
      <c r="C59" s="479"/>
      <c r="D59" s="479"/>
      <c r="E59" s="479"/>
      <c r="F59" s="476">
        <v>0</v>
      </c>
      <c r="G59" s="476"/>
      <c r="H59" s="476">
        <v>0</v>
      </c>
      <c r="I59" s="476"/>
      <c r="J59" s="476"/>
      <c r="K59" s="476">
        <v>0</v>
      </c>
      <c r="L59" s="476"/>
      <c r="M59" s="476"/>
      <c r="N59" s="476">
        <v>0</v>
      </c>
      <c r="O59" s="476"/>
    </row>
    <row r="60" spans="1:15" ht="18" customHeight="1" x14ac:dyDescent="0.3">
      <c r="A60" s="484" t="s">
        <v>703</v>
      </c>
      <c r="B60" s="484"/>
      <c r="C60" s="484"/>
      <c r="D60" s="484"/>
      <c r="E60" s="484"/>
      <c r="F60" s="482">
        <v>0</v>
      </c>
      <c r="G60" s="482"/>
      <c r="H60" s="482">
        <v>0</v>
      </c>
      <c r="I60" s="482"/>
      <c r="J60" s="482"/>
      <c r="K60" s="482">
        <v>0</v>
      </c>
      <c r="L60" s="482"/>
      <c r="M60" s="482"/>
      <c r="N60" s="482">
        <v>0</v>
      </c>
      <c r="O60" s="482"/>
    </row>
    <row r="61" spans="1:15" ht="18" customHeight="1" x14ac:dyDescent="0.3">
      <c r="A61" s="484" t="s">
        <v>704</v>
      </c>
      <c r="B61" s="484"/>
      <c r="C61" s="484"/>
      <c r="D61" s="484"/>
      <c r="E61" s="484"/>
      <c r="F61" s="482">
        <v>0</v>
      </c>
      <c r="G61" s="482"/>
      <c r="H61" s="482">
        <v>0</v>
      </c>
      <c r="I61" s="482"/>
      <c r="J61" s="482"/>
      <c r="K61" s="482">
        <v>0</v>
      </c>
      <c r="L61" s="482"/>
      <c r="M61" s="482"/>
      <c r="N61" s="482">
        <v>0</v>
      </c>
      <c r="O61" s="482"/>
    </row>
    <row r="62" spans="1:15" ht="18" customHeight="1" x14ac:dyDescent="0.3">
      <c r="A62" s="479" t="s">
        <v>705</v>
      </c>
      <c r="B62" s="479"/>
      <c r="C62" s="479"/>
      <c r="D62" s="479"/>
      <c r="E62" s="479"/>
      <c r="F62" s="476">
        <v>0</v>
      </c>
      <c r="G62" s="476"/>
      <c r="H62" s="476">
        <v>0</v>
      </c>
      <c r="I62" s="476"/>
      <c r="J62" s="476"/>
      <c r="K62" s="476">
        <v>0</v>
      </c>
      <c r="L62" s="476"/>
      <c r="M62" s="476"/>
      <c r="N62" s="476">
        <v>0</v>
      </c>
      <c r="O62" s="476"/>
    </row>
    <row r="63" spans="1:15" ht="18" customHeight="1" x14ac:dyDescent="0.3">
      <c r="A63" s="484" t="s">
        <v>703</v>
      </c>
      <c r="B63" s="484"/>
      <c r="C63" s="484"/>
      <c r="D63" s="484"/>
      <c r="E63" s="484"/>
      <c r="F63" s="482">
        <v>0</v>
      </c>
      <c r="G63" s="482"/>
      <c r="H63" s="482">
        <v>0</v>
      </c>
      <c r="I63" s="482"/>
      <c r="J63" s="482"/>
      <c r="K63" s="482">
        <v>0</v>
      </c>
      <c r="L63" s="482"/>
      <c r="M63" s="482"/>
      <c r="N63" s="482">
        <v>0</v>
      </c>
      <c r="O63" s="482"/>
    </row>
    <row r="64" spans="1:15" ht="18" customHeight="1" x14ac:dyDescent="0.3">
      <c r="A64" s="479" t="s">
        <v>706</v>
      </c>
      <c r="B64" s="479"/>
      <c r="C64" s="479"/>
      <c r="D64" s="479"/>
      <c r="E64" s="479"/>
      <c r="F64" s="476">
        <v>0</v>
      </c>
      <c r="G64" s="476"/>
      <c r="H64" s="476">
        <v>6265.82</v>
      </c>
      <c r="I64" s="476"/>
      <c r="J64" s="476"/>
      <c r="K64" s="476">
        <v>6265.82</v>
      </c>
      <c r="L64" s="476"/>
      <c r="M64" s="476"/>
      <c r="N64" s="476">
        <v>-6265.82</v>
      </c>
      <c r="O64" s="476"/>
    </row>
    <row r="65" spans="1:15" ht="22.5" customHeight="1" x14ac:dyDescent="0.3">
      <c r="A65" s="484" t="s">
        <v>707</v>
      </c>
      <c r="B65" s="484"/>
      <c r="C65" s="484"/>
      <c r="D65" s="484"/>
      <c r="E65" s="484"/>
      <c r="F65" s="482">
        <v>0</v>
      </c>
      <c r="G65" s="482"/>
      <c r="H65" s="482">
        <v>6265.82</v>
      </c>
      <c r="I65" s="482"/>
      <c r="J65" s="482"/>
      <c r="K65" s="482">
        <v>6265.82</v>
      </c>
      <c r="L65" s="482"/>
      <c r="M65" s="482"/>
      <c r="N65" s="482">
        <v>-6265.82</v>
      </c>
      <c r="O65" s="482"/>
    </row>
    <row r="66" spans="1:15" ht="22.5" customHeight="1" x14ac:dyDescent="0.3">
      <c r="A66" s="484" t="s">
        <v>708</v>
      </c>
      <c r="B66" s="484"/>
      <c r="C66" s="484"/>
      <c r="D66" s="484"/>
      <c r="E66" s="484"/>
      <c r="F66" s="482">
        <v>0</v>
      </c>
      <c r="G66" s="482"/>
      <c r="H66" s="482">
        <v>0</v>
      </c>
      <c r="I66" s="482"/>
      <c r="J66" s="482"/>
      <c r="K66" s="482">
        <v>0</v>
      </c>
      <c r="L66" s="482"/>
      <c r="M66" s="482"/>
      <c r="N66" s="482">
        <v>0</v>
      </c>
      <c r="O66" s="482"/>
    </row>
    <row r="67" spans="1:15" ht="21.75" customHeight="1" x14ac:dyDescent="0.3">
      <c r="A67" s="484" t="s">
        <v>709</v>
      </c>
      <c r="B67" s="484"/>
      <c r="C67" s="484"/>
      <c r="D67" s="484"/>
      <c r="E67" s="484"/>
      <c r="F67" s="482">
        <v>0</v>
      </c>
      <c r="G67" s="482"/>
      <c r="H67" s="482">
        <v>0</v>
      </c>
      <c r="I67" s="482"/>
      <c r="J67" s="482"/>
      <c r="K67" s="482">
        <v>0</v>
      </c>
      <c r="L67" s="482"/>
      <c r="M67" s="482"/>
      <c r="N67" s="482">
        <v>0</v>
      </c>
      <c r="O67" s="482"/>
    </row>
    <row r="68" spans="1:15" ht="22.5" customHeight="1" x14ac:dyDescent="0.3">
      <c r="A68" s="484" t="s">
        <v>710</v>
      </c>
      <c r="B68" s="484"/>
      <c r="C68" s="484"/>
      <c r="D68" s="484"/>
      <c r="E68" s="484"/>
      <c r="F68" s="482">
        <v>0</v>
      </c>
      <c r="G68" s="482"/>
      <c r="H68" s="482">
        <v>0</v>
      </c>
      <c r="I68" s="482"/>
      <c r="J68" s="482"/>
      <c r="K68" s="482">
        <v>0</v>
      </c>
      <c r="L68" s="482"/>
      <c r="M68" s="482"/>
      <c r="N68" s="482">
        <v>0</v>
      </c>
      <c r="O68" s="482"/>
    </row>
    <row r="69" spans="1:15" ht="19.5" customHeight="1" x14ac:dyDescent="0.3">
      <c r="A69" s="479" t="s">
        <v>711</v>
      </c>
      <c r="B69" s="479"/>
      <c r="C69" s="479"/>
      <c r="D69" s="479"/>
      <c r="E69" s="479"/>
      <c r="F69" s="476">
        <v>0</v>
      </c>
      <c r="G69" s="476"/>
      <c r="H69" s="476">
        <v>0</v>
      </c>
      <c r="I69" s="476"/>
      <c r="J69" s="476"/>
      <c r="K69" s="476">
        <v>0</v>
      </c>
      <c r="L69" s="476"/>
      <c r="M69" s="476"/>
      <c r="N69" s="476">
        <v>0</v>
      </c>
      <c r="O69" s="476"/>
    </row>
    <row r="70" spans="1:15" ht="18" customHeight="1" x14ac:dyDescent="0.3">
      <c r="A70" s="484" t="s">
        <v>703</v>
      </c>
      <c r="B70" s="484"/>
      <c r="C70" s="484"/>
      <c r="D70" s="484"/>
      <c r="E70" s="484"/>
      <c r="F70" s="482">
        <v>0</v>
      </c>
      <c r="G70" s="482"/>
      <c r="H70" s="482">
        <v>0</v>
      </c>
      <c r="I70" s="482"/>
      <c r="J70" s="482"/>
      <c r="K70" s="482">
        <v>0</v>
      </c>
      <c r="L70" s="482"/>
      <c r="M70" s="482"/>
      <c r="N70" s="482">
        <v>0</v>
      </c>
      <c r="O70" s="482"/>
    </row>
    <row r="71" spans="1:15" ht="18" customHeight="1" x14ac:dyDescent="0.3">
      <c r="A71" s="484" t="s">
        <v>704</v>
      </c>
      <c r="B71" s="484"/>
      <c r="C71" s="484"/>
      <c r="D71" s="484"/>
      <c r="E71" s="484"/>
      <c r="F71" s="482">
        <v>0</v>
      </c>
      <c r="G71" s="482"/>
      <c r="H71" s="482">
        <v>0</v>
      </c>
      <c r="I71" s="482"/>
      <c r="J71" s="482"/>
      <c r="K71" s="482">
        <v>0</v>
      </c>
      <c r="L71" s="482"/>
      <c r="M71" s="482"/>
      <c r="N71" s="482">
        <v>0</v>
      </c>
      <c r="O71" s="482"/>
    </row>
    <row r="72" spans="1:15" ht="19.5" customHeight="1" x14ac:dyDescent="0.3">
      <c r="A72" s="479" t="s">
        <v>712</v>
      </c>
      <c r="B72" s="479"/>
      <c r="C72" s="479"/>
      <c r="D72" s="479"/>
      <c r="E72" s="479"/>
      <c r="F72" s="476">
        <v>1814966.75</v>
      </c>
      <c r="G72" s="476"/>
      <c r="H72" s="476">
        <v>932002.76</v>
      </c>
      <c r="I72" s="476"/>
      <c r="J72" s="476"/>
      <c r="K72" s="476">
        <v>932002.76</v>
      </c>
      <c r="L72" s="476"/>
      <c r="M72" s="476"/>
      <c r="N72" s="476">
        <v>882963.99</v>
      </c>
      <c r="O72" s="476"/>
    </row>
    <row r="73" spans="1:15" ht="18" customHeight="1" x14ac:dyDescent="0.3">
      <c r="A73" s="484" t="s">
        <v>713</v>
      </c>
      <c r="B73" s="484"/>
      <c r="C73" s="484"/>
      <c r="D73" s="484"/>
      <c r="E73" s="484"/>
      <c r="F73" s="482">
        <v>0</v>
      </c>
      <c r="G73" s="482"/>
      <c r="H73" s="482">
        <v>179957.23</v>
      </c>
      <c r="I73" s="482"/>
      <c r="J73" s="482"/>
      <c r="K73" s="482">
        <v>179957.23</v>
      </c>
      <c r="L73" s="482"/>
      <c r="M73" s="482"/>
      <c r="N73" s="482">
        <v>-179957.23</v>
      </c>
      <c r="O73" s="482"/>
    </row>
    <row r="74" spans="1:15" ht="18" customHeight="1" x14ac:dyDescent="0.3">
      <c r="A74" s="484" t="s">
        <v>714</v>
      </c>
      <c r="B74" s="484"/>
      <c r="C74" s="484"/>
      <c r="D74" s="484"/>
      <c r="E74" s="484"/>
      <c r="F74" s="482">
        <v>1814966.75</v>
      </c>
      <c r="G74" s="482"/>
      <c r="H74" s="482">
        <v>729864.79</v>
      </c>
      <c r="I74" s="482"/>
      <c r="J74" s="482"/>
      <c r="K74" s="482">
        <v>729864.79</v>
      </c>
      <c r="L74" s="482"/>
      <c r="M74" s="482"/>
      <c r="N74" s="482">
        <v>1085101.96</v>
      </c>
      <c r="O74" s="482"/>
    </row>
    <row r="75" spans="1:15" ht="18" customHeight="1" x14ac:dyDescent="0.3">
      <c r="A75" s="484" t="s">
        <v>715</v>
      </c>
      <c r="B75" s="484"/>
      <c r="C75" s="484"/>
      <c r="D75" s="484"/>
      <c r="E75" s="484"/>
      <c r="F75" s="482">
        <v>0</v>
      </c>
      <c r="G75" s="482"/>
      <c r="H75" s="482">
        <v>460.72</v>
      </c>
      <c r="I75" s="482"/>
      <c r="J75" s="482"/>
      <c r="K75" s="482">
        <v>460.72</v>
      </c>
      <c r="L75" s="482"/>
      <c r="M75" s="482"/>
      <c r="N75" s="482">
        <v>-460.72</v>
      </c>
      <c r="O75" s="482"/>
    </row>
    <row r="76" spans="1:15" ht="21.75" customHeight="1" x14ac:dyDescent="0.3">
      <c r="A76" s="484" t="s">
        <v>716</v>
      </c>
      <c r="B76" s="484"/>
      <c r="C76" s="484"/>
      <c r="D76" s="484"/>
      <c r="E76" s="484"/>
      <c r="F76" s="482">
        <v>0</v>
      </c>
      <c r="G76" s="482"/>
      <c r="H76" s="482">
        <v>3962.19</v>
      </c>
      <c r="I76" s="482"/>
      <c r="J76" s="482"/>
      <c r="K76" s="482">
        <v>3962.19</v>
      </c>
      <c r="L76" s="482"/>
      <c r="M76" s="482"/>
      <c r="N76" s="482">
        <v>-3962.19</v>
      </c>
      <c r="O76" s="482"/>
    </row>
    <row r="77" spans="1:15" ht="18" customHeight="1" x14ac:dyDescent="0.3">
      <c r="A77" s="484" t="s">
        <v>717</v>
      </c>
      <c r="B77" s="484"/>
      <c r="C77" s="484"/>
      <c r="D77" s="484"/>
      <c r="E77" s="484"/>
      <c r="F77" s="482">
        <v>0</v>
      </c>
      <c r="G77" s="482"/>
      <c r="H77" s="482">
        <v>4975.78</v>
      </c>
      <c r="I77" s="482"/>
      <c r="J77" s="482"/>
      <c r="K77" s="482">
        <v>4975.78</v>
      </c>
      <c r="L77" s="482"/>
      <c r="M77" s="482"/>
      <c r="N77" s="482">
        <v>-4975.78</v>
      </c>
      <c r="O77" s="482"/>
    </row>
    <row r="78" spans="1:15" ht="22.5" customHeight="1" x14ac:dyDescent="0.3">
      <c r="A78" s="484" t="s">
        <v>718</v>
      </c>
      <c r="B78" s="484"/>
      <c r="C78" s="484"/>
      <c r="D78" s="484"/>
      <c r="E78" s="484"/>
      <c r="F78" s="482">
        <v>0</v>
      </c>
      <c r="G78" s="482"/>
      <c r="H78" s="482">
        <v>12782.05</v>
      </c>
      <c r="I78" s="482"/>
      <c r="J78" s="482"/>
      <c r="K78" s="482">
        <v>12782.05</v>
      </c>
      <c r="L78" s="482"/>
      <c r="M78" s="482"/>
      <c r="N78" s="482">
        <v>-12782.05</v>
      </c>
      <c r="O78" s="482"/>
    </row>
    <row r="79" spans="1:15" ht="18" customHeight="1" x14ac:dyDescent="0.3">
      <c r="A79" s="484" t="s">
        <v>719</v>
      </c>
      <c r="B79" s="484"/>
      <c r="C79" s="484"/>
      <c r="D79" s="484"/>
      <c r="E79" s="484"/>
      <c r="F79" s="482">
        <v>0</v>
      </c>
      <c r="G79" s="482"/>
      <c r="H79" s="482">
        <v>0</v>
      </c>
      <c r="I79" s="482"/>
      <c r="J79" s="482"/>
      <c r="K79" s="482">
        <v>0</v>
      </c>
      <c r="L79" s="482"/>
      <c r="M79" s="482"/>
      <c r="N79" s="482">
        <v>0</v>
      </c>
      <c r="O79" s="482"/>
    </row>
    <row r="80" spans="1:15" ht="19.5" customHeight="1" x14ac:dyDescent="0.3">
      <c r="A80" s="479" t="s">
        <v>720</v>
      </c>
      <c r="B80" s="479"/>
      <c r="C80" s="479"/>
      <c r="D80" s="479"/>
      <c r="E80" s="479"/>
      <c r="F80" s="476">
        <v>0</v>
      </c>
      <c r="G80" s="476"/>
      <c r="H80" s="476">
        <v>0</v>
      </c>
      <c r="I80" s="476"/>
      <c r="J80" s="476"/>
      <c r="K80" s="476">
        <v>0</v>
      </c>
      <c r="L80" s="476"/>
      <c r="M80" s="476"/>
      <c r="N80" s="476">
        <v>0</v>
      </c>
      <c r="O80" s="476"/>
    </row>
    <row r="81" spans="1:15" ht="18" customHeight="1" x14ac:dyDescent="0.3">
      <c r="A81" s="484" t="s">
        <v>721</v>
      </c>
      <c r="B81" s="484"/>
      <c r="C81" s="484"/>
      <c r="D81" s="484"/>
      <c r="E81" s="484"/>
      <c r="F81" s="482">
        <v>0</v>
      </c>
      <c r="G81" s="482"/>
      <c r="H81" s="482">
        <v>0</v>
      </c>
      <c r="I81" s="482"/>
      <c r="J81" s="482"/>
      <c r="K81" s="482">
        <v>0</v>
      </c>
      <c r="L81" s="482"/>
      <c r="M81" s="482"/>
      <c r="N81" s="482">
        <v>0</v>
      </c>
      <c r="O81" s="482"/>
    </row>
    <row r="82" spans="1:15" ht="18" customHeight="1" x14ac:dyDescent="0.3">
      <c r="A82" s="479" t="s">
        <v>722</v>
      </c>
      <c r="B82" s="479"/>
      <c r="C82" s="479"/>
      <c r="D82" s="479"/>
      <c r="E82" s="479"/>
      <c r="F82" s="476">
        <v>0</v>
      </c>
      <c r="G82" s="476"/>
      <c r="H82" s="476">
        <v>0</v>
      </c>
      <c r="I82" s="476"/>
      <c r="J82" s="476"/>
      <c r="K82" s="476">
        <v>0</v>
      </c>
      <c r="L82" s="476"/>
      <c r="M82" s="476"/>
      <c r="N82" s="476">
        <v>0</v>
      </c>
      <c r="O82" s="476"/>
    </row>
    <row r="83" spans="1:15" ht="18" customHeight="1" x14ac:dyDescent="0.3">
      <c r="A83" s="484" t="s">
        <v>723</v>
      </c>
      <c r="B83" s="484"/>
      <c r="C83" s="484"/>
      <c r="D83" s="484"/>
      <c r="E83" s="484"/>
      <c r="F83" s="482">
        <v>0</v>
      </c>
      <c r="G83" s="482"/>
      <c r="H83" s="482">
        <v>0</v>
      </c>
      <c r="I83" s="482"/>
      <c r="J83" s="482"/>
      <c r="K83" s="482">
        <v>0</v>
      </c>
      <c r="L83" s="482"/>
      <c r="M83" s="482"/>
      <c r="N83" s="482">
        <v>0</v>
      </c>
      <c r="O83" s="482"/>
    </row>
    <row r="84" spans="1:15" ht="18" customHeight="1" x14ac:dyDescent="0.3">
      <c r="A84" s="484" t="s">
        <v>724</v>
      </c>
      <c r="B84" s="484"/>
      <c r="C84" s="484"/>
      <c r="D84" s="484"/>
      <c r="E84" s="484"/>
      <c r="F84" s="482">
        <v>0</v>
      </c>
      <c r="G84" s="482"/>
      <c r="H84" s="482">
        <v>0</v>
      </c>
      <c r="I84" s="482"/>
      <c r="J84" s="482"/>
      <c r="K84" s="482">
        <v>0</v>
      </c>
      <c r="L84" s="482"/>
      <c r="M84" s="482"/>
      <c r="N84" s="482">
        <v>0</v>
      </c>
      <c r="O84" s="482"/>
    </row>
    <row r="85" spans="1:15" ht="18" customHeight="1" x14ac:dyDescent="0.3">
      <c r="A85" s="484" t="s">
        <v>725</v>
      </c>
      <c r="B85" s="484"/>
      <c r="C85" s="484"/>
      <c r="D85" s="484"/>
      <c r="E85" s="484"/>
      <c r="F85" s="482">
        <v>0</v>
      </c>
      <c r="G85" s="482"/>
      <c r="H85" s="482">
        <v>0</v>
      </c>
      <c r="I85" s="482"/>
      <c r="J85" s="482"/>
      <c r="K85" s="482">
        <v>0</v>
      </c>
      <c r="L85" s="482"/>
      <c r="M85" s="482"/>
      <c r="N85" s="482">
        <v>0</v>
      </c>
      <c r="O85" s="482"/>
    </row>
    <row r="86" spans="1:15" ht="18" customHeight="1" x14ac:dyDescent="0.3">
      <c r="A86" s="484" t="s">
        <v>726</v>
      </c>
      <c r="B86" s="484"/>
      <c r="C86" s="484"/>
      <c r="D86" s="484"/>
      <c r="E86" s="484"/>
      <c r="F86" s="482">
        <v>0</v>
      </c>
      <c r="G86" s="482"/>
      <c r="H86" s="482">
        <v>0</v>
      </c>
      <c r="I86" s="482"/>
      <c r="J86" s="482"/>
      <c r="K86" s="482">
        <v>0</v>
      </c>
      <c r="L86" s="482"/>
      <c r="M86" s="482"/>
      <c r="N86" s="482">
        <v>0</v>
      </c>
      <c r="O86" s="482"/>
    </row>
    <row r="87" spans="1:15" ht="18" customHeight="1" x14ac:dyDescent="0.3">
      <c r="A87" s="484" t="s">
        <v>727</v>
      </c>
      <c r="B87" s="484"/>
      <c r="C87" s="484"/>
      <c r="D87" s="484"/>
      <c r="E87" s="484"/>
      <c r="F87" s="482">
        <v>0</v>
      </c>
      <c r="G87" s="482"/>
      <c r="H87" s="482">
        <v>0</v>
      </c>
      <c r="I87" s="482"/>
      <c r="J87" s="482"/>
      <c r="K87" s="482">
        <v>0</v>
      </c>
      <c r="L87" s="482"/>
      <c r="M87" s="482"/>
      <c r="N87" s="482">
        <v>0</v>
      </c>
      <c r="O87" s="482"/>
    </row>
    <row r="88" spans="1:15" ht="18" customHeight="1" x14ac:dyDescent="0.3">
      <c r="A88" s="484" t="s">
        <v>728</v>
      </c>
      <c r="B88" s="484"/>
      <c r="C88" s="484"/>
      <c r="D88" s="484"/>
      <c r="E88" s="484"/>
      <c r="F88" s="482">
        <v>0</v>
      </c>
      <c r="G88" s="482"/>
      <c r="H88" s="482">
        <v>0</v>
      </c>
      <c r="I88" s="482"/>
      <c r="J88" s="482"/>
      <c r="K88" s="482">
        <v>0</v>
      </c>
      <c r="L88" s="482"/>
      <c r="M88" s="482"/>
      <c r="N88" s="482">
        <v>0</v>
      </c>
      <c r="O88" s="482"/>
    </row>
    <row r="89" spans="1:15" ht="18" customHeight="1" x14ac:dyDescent="0.3">
      <c r="A89" s="484" t="s">
        <v>729</v>
      </c>
      <c r="B89" s="484"/>
      <c r="C89" s="484"/>
      <c r="D89" s="484"/>
      <c r="E89" s="484"/>
      <c r="F89" s="482">
        <v>0</v>
      </c>
      <c r="G89" s="482"/>
      <c r="H89" s="482">
        <v>0</v>
      </c>
      <c r="I89" s="482"/>
      <c r="J89" s="482"/>
      <c r="K89" s="482">
        <v>0</v>
      </c>
      <c r="L89" s="482"/>
      <c r="M89" s="482"/>
      <c r="N89" s="482">
        <v>0</v>
      </c>
      <c r="O89" s="482"/>
    </row>
    <row r="90" spans="1:15" ht="18" customHeight="1" x14ac:dyDescent="0.3">
      <c r="A90" s="484" t="s">
        <v>730</v>
      </c>
      <c r="B90" s="484"/>
      <c r="C90" s="484"/>
      <c r="D90" s="484"/>
      <c r="E90" s="484"/>
      <c r="F90" s="482">
        <v>0</v>
      </c>
      <c r="G90" s="482"/>
      <c r="H90" s="482">
        <v>0</v>
      </c>
      <c r="I90" s="482"/>
      <c r="J90" s="482"/>
      <c r="K90" s="482">
        <v>0</v>
      </c>
      <c r="L90" s="482"/>
      <c r="M90" s="482"/>
      <c r="N90" s="482">
        <v>0</v>
      </c>
      <c r="O90" s="482"/>
    </row>
    <row r="91" spans="1:15" ht="18" customHeight="1" x14ac:dyDescent="0.3">
      <c r="A91" s="484" t="s">
        <v>731</v>
      </c>
      <c r="B91" s="484"/>
      <c r="C91" s="484"/>
      <c r="D91" s="484"/>
      <c r="E91" s="484"/>
      <c r="F91" s="482">
        <v>0</v>
      </c>
      <c r="G91" s="482"/>
      <c r="H91" s="482">
        <v>0</v>
      </c>
      <c r="I91" s="482"/>
      <c r="J91" s="482"/>
      <c r="K91" s="482">
        <v>0</v>
      </c>
      <c r="L91" s="482"/>
      <c r="M91" s="482"/>
      <c r="N91" s="482">
        <v>0</v>
      </c>
      <c r="O91" s="482"/>
    </row>
    <row r="92" spans="1:15" ht="18" customHeight="1" x14ac:dyDescent="0.3">
      <c r="A92" s="484" t="s">
        <v>732</v>
      </c>
      <c r="B92" s="484"/>
      <c r="C92" s="484"/>
      <c r="D92" s="484"/>
      <c r="E92" s="484"/>
      <c r="F92" s="482">
        <v>0</v>
      </c>
      <c r="G92" s="482"/>
      <c r="H92" s="482">
        <v>0</v>
      </c>
      <c r="I92" s="482"/>
      <c r="J92" s="482"/>
      <c r="K92" s="482">
        <v>0</v>
      </c>
      <c r="L92" s="482"/>
      <c r="M92" s="482"/>
      <c r="N92" s="482">
        <v>0</v>
      </c>
      <c r="O92" s="482"/>
    </row>
    <row r="93" spans="1:15" ht="18" customHeight="1" x14ac:dyDescent="0.3">
      <c r="A93" s="484" t="s">
        <v>733</v>
      </c>
      <c r="B93" s="484"/>
      <c r="C93" s="484"/>
      <c r="D93" s="484"/>
      <c r="E93" s="484"/>
      <c r="F93" s="482">
        <v>0</v>
      </c>
      <c r="G93" s="482"/>
      <c r="H93" s="482">
        <v>0</v>
      </c>
      <c r="I93" s="482"/>
      <c r="J93" s="482"/>
      <c r="K93" s="482">
        <v>0</v>
      </c>
      <c r="L93" s="482"/>
      <c r="M93" s="482"/>
      <c r="N93" s="482">
        <v>0</v>
      </c>
      <c r="O93" s="482"/>
    </row>
    <row r="94" spans="1:15" ht="18" customHeight="1" x14ac:dyDescent="0.3">
      <c r="A94" s="484" t="s">
        <v>734</v>
      </c>
      <c r="B94" s="484"/>
      <c r="C94" s="484"/>
      <c r="D94" s="484"/>
      <c r="E94" s="484"/>
      <c r="F94" s="482">
        <v>0</v>
      </c>
      <c r="G94" s="482"/>
      <c r="H94" s="482">
        <v>0</v>
      </c>
      <c r="I94" s="482"/>
      <c r="J94" s="482"/>
      <c r="K94" s="482">
        <v>0</v>
      </c>
      <c r="L94" s="482"/>
      <c r="M94" s="482"/>
      <c r="N94" s="482">
        <v>0</v>
      </c>
      <c r="O94" s="482"/>
    </row>
    <row r="95" spans="1:15" ht="18" customHeight="1" x14ac:dyDescent="0.3">
      <c r="A95" s="484" t="s">
        <v>735</v>
      </c>
      <c r="B95" s="484"/>
      <c r="C95" s="484"/>
      <c r="D95" s="484"/>
      <c r="E95" s="484"/>
      <c r="F95" s="482">
        <v>0</v>
      </c>
      <c r="G95" s="482"/>
      <c r="H95" s="482">
        <v>0</v>
      </c>
      <c r="I95" s="482"/>
      <c r="J95" s="482"/>
      <c r="K95" s="482">
        <v>0</v>
      </c>
      <c r="L95" s="482"/>
      <c r="M95" s="482"/>
      <c r="N95" s="482">
        <v>0</v>
      </c>
      <c r="O95" s="482"/>
    </row>
    <row r="96" spans="1:15" ht="18" customHeight="1" x14ac:dyDescent="0.3">
      <c r="A96" s="484" t="s">
        <v>736</v>
      </c>
      <c r="B96" s="484"/>
      <c r="C96" s="484"/>
      <c r="D96" s="484"/>
      <c r="E96" s="484"/>
      <c r="F96" s="482">
        <v>0</v>
      </c>
      <c r="G96" s="482"/>
      <c r="H96" s="482">
        <v>0</v>
      </c>
      <c r="I96" s="482"/>
      <c r="J96" s="482"/>
      <c r="K96" s="482">
        <v>0</v>
      </c>
      <c r="L96" s="482"/>
      <c r="M96" s="482"/>
      <c r="N96" s="482">
        <v>0</v>
      </c>
      <c r="O96" s="482"/>
    </row>
    <row r="97" spans="1:15" ht="18" customHeight="1" x14ac:dyDescent="0.3">
      <c r="A97" s="478" t="s">
        <v>737</v>
      </c>
      <c r="B97" s="478"/>
      <c r="C97" s="478"/>
      <c r="D97" s="478"/>
      <c r="E97" s="478"/>
      <c r="F97" s="476">
        <v>1201878.44</v>
      </c>
      <c r="G97" s="476"/>
      <c r="H97" s="476">
        <v>673757.48</v>
      </c>
      <c r="I97" s="476"/>
      <c r="J97" s="476"/>
      <c r="K97" s="476">
        <v>673757.48</v>
      </c>
      <c r="L97" s="476"/>
      <c r="M97" s="476"/>
      <c r="N97" s="476">
        <v>528120.96</v>
      </c>
      <c r="O97" s="476"/>
    </row>
    <row r="98" spans="1:15" ht="19.5" customHeight="1" x14ac:dyDescent="0.3">
      <c r="A98" s="479" t="s">
        <v>738</v>
      </c>
      <c r="B98" s="479"/>
      <c r="C98" s="479"/>
      <c r="D98" s="479"/>
      <c r="E98" s="479"/>
      <c r="F98" s="476">
        <v>0</v>
      </c>
      <c r="G98" s="476"/>
      <c r="H98" s="476">
        <v>0</v>
      </c>
      <c r="I98" s="476"/>
      <c r="J98" s="476"/>
      <c r="K98" s="476">
        <v>0</v>
      </c>
      <c r="L98" s="476"/>
      <c r="M98" s="476"/>
      <c r="N98" s="476">
        <v>0</v>
      </c>
      <c r="O98" s="476"/>
    </row>
    <row r="99" spans="1:15" ht="18" customHeight="1" x14ac:dyDescent="0.3">
      <c r="A99" s="484" t="s">
        <v>739</v>
      </c>
      <c r="B99" s="484"/>
      <c r="C99" s="484"/>
      <c r="D99" s="484"/>
      <c r="E99" s="484"/>
      <c r="F99" s="482">
        <v>0</v>
      </c>
      <c r="G99" s="482"/>
      <c r="H99" s="482">
        <v>0</v>
      </c>
      <c r="I99" s="482"/>
      <c r="J99" s="482"/>
      <c r="K99" s="482">
        <v>0</v>
      </c>
      <c r="L99" s="482"/>
      <c r="M99" s="482"/>
      <c r="N99" s="482">
        <v>0</v>
      </c>
      <c r="O99" s="482"/>
    </row>
    <row r="100" spans="1:15" ht="18" customHeight="1" x14ac:dyDescent="0.3">
      <c r="A100" s="484" t="s">
        <v>740</v>
      </c>
      <c r="B100" s="484"/>
      <c r="C100" s="484"/>
      <c r="D100" s="484"/>
      <c r="E100" s="484"/>
      <c r="F100" s="482">
        <v>0</v>
      </c>
      <c r="G100" s="482"/>
      <c r="H100" s="482">
        <v>0</v>
      </c>
      <c r="I100" s="482"/>
      <c r="J100" s="482"/>
      <c r="K100" s="482">
        <v>0</v>
      </c>
      <c r="L100" s="482"/>
      <c r="M100" s="482"/>
      <c r="N100" s="482">
        <v>0</v>
      </c>
      <c r="O100" s="482"/>
    </row>
    <row r="101" spans="1:15" ht="18" customHeight="1" x14ac:dyDescent="0.3">
      <c r="A101" s="479" t="s">
        <v>741</v>
      </c>
      <c r="B101" s="479"/>
      <c r="C101" s="479"/>
      <c r="D101" s="479"/>
      <c r="E101" s="479"/>
      <c r="F101" s="476">
        <v>60563.53</v>
      </c>
      <c r="G101" s="476"/>
      <c r="H101" s="476">
        <v>63473.69</v>
      </c>
      <c r="I101" s="476"/>
      <c r="J101" s="476"/>
      <c r="K101" s="476">
        <v>63473.69</v>
      </c>
      <c r="L101" s="476"/>
      <c r="M101" s="476"/>
      <c r="N101" s="476">
        <v>-2910.16</v>
      </c>
      <c r="O101" s="476"/>
    </row>
    <row r="102" spans="1:15" ht="18" customHeight="1" x14ac:dyDescent="0.3">
      <c r="A102" s="484" t="s">
        <v>742</v>
      </c>
      <c r="B102" s="484"/>
      <c r="C102" s="484"/>
      <c r="D102" s="484"/>
      <c r="E102" s="484"/>
      <c r="F102" s="482">
        <v>60563.53</v>
      </c>
      <c r="G102" s="482"/>
      <c r="H102" s="482">
        <v>2195.35</v>
      </c>
      <c r="I102" s="482"/>
      <c r="J102" s="482"/>
      <c r="K102" s="482">
        <v>2195.35</v>
      </c>
      <c r="L102" s="482"/>
      <c r="M102" s="482"/>
      <c r="N102" s="482">
        <v>58368.18</v>
      </c>
      <c r="O102" s="482"/>
    </row>
    <row r="103" spans="1:15" ht="18" customHeight="1" x14ac:dyDescent="0.3">
      <c r="A103" s="484" t="s">
        <v>743</v>
      </c>
      <c r="B103" s="484"/>
      <c r="C103" s="484"/>
      <c r="D103" s="484"/>
      <c r="E103" s="484"/>
      <c r="F103" s="482">
        <v>0</v>
      </c>
      <c r="G103" s="482"/>
      <c r="H103" s="482">
        <v>366.66</v>
      </c>
      <c r="I103" s="482"/>
      <c r="J103" s="482"/>
      <c r="K103" s="482">
        <v>366.66</v>
      </c>
      <c r="L103" s="482"/>
      <c r="M103" s="482"/>
      <c r="N103" s="482">
        <v>-366.66</v>
      </c>
      <c r="O103" s="482"/>
    </row>
    <row r="104" spans="1:15" ht="18" customHeight="1" x14ac:dyDescent="0.3">
      <c r="A104" s="484" t="s">
        <v>744</v>
      </c>
      <c r="B104" s="484"/>
      <c r="C104" s="484"/>
      <c r="D104" s="484"/>
      <c r="E104" s="484"/>
      <c r="F104" s="482">
        <v>0</v>
      </c>
      <c r="G104" s="482"/>
      <c r="H104" s="482">
        <v>3744.4</v>
      </c>
      <c r="I104" s="482"/>
      <c r="J104" s="482"/>
      <c r="K104" s="482">
        <v>3744.4</v>
      </c>
      <c r="L104" s="482"/>
      <c r="M104" s="482"/>
      <c r="N104" s="482">
        <v>-3744.4</v>
      </c>
      <c r="O104" s="482"/>
    </row>
    <row r="105" spans="1:15" ht="18" customHeight="1" x14ac:dyDescent="0.3">
      <c r="A105" s="484" t="s">
        <v>745</v>
      </c>
      <c r="B105" s="484"/>
      <c r="C105" s="484"/>
      <c r="D105" s="484"/>
      <c r="E105" s="484"/>
      <c r="F105" s="482">
        <v>0</v>
      </c>
      <c r="G105" s="482"/>
      <c r="H105" s="482">
        <v>0</v>
      </c>
      <c r="I105" s="482"/>
      <c r="J105" s="482"/>
      <c r="K105" s="482">
        <v>0</v>
      </c>
      <c r="L105" s="482"/>
      <c r="M105" s="482"/>
      <c r="N105" s="482">
        <v>0</v>
      </c>
      <c r="O105" s="482"/>
    </row>
    <row r="106" spans="1:15" ht="18" customHeight="1" x14ac:dyDescent="0.3">
      <c r="A106" s="484" t="s">
        <v>746</v>
      </c>
      <c r="B106" s="484"/>
      <c r="C106" s="484"/>
      <c r="D106" s="484"/>
      <c r="E106" s="484"/>
      <c r="F106" s="482">
        <v>0</v>
      </c>
      <c r="G106" s="482"/>
      <c r="H106" s="482">
        <v>43174.54</v>
      </c>
      <c r="I106" s="482"/>
      <c r="J106" s="482"/>
      <c r="K106" s="482">
        <v>43174.54</v>
      </c>
      <c r="L106" s="482"/>
      <c r="M106" s="482"/>
      <c r="N106" s="482">
        <v>-43174.54</v>
      </c>
      <c r="O106" s="482"/>
    </row>
    <row r="107" spans="1:15" ht="18" customHeight="1" x14ac:dyDescent="0.3">
      <c r="A107" s="484" t="s">
        <v>747</v>
      </c>
      <c r="B107" s="484"/>
      <c r="C107" s="484"/>
      <c r="D107" s="484"/>
      <c r="E107" s="484"/>
      <c r="F107" s="482">
        <v>0</v>
      </c>
      <c r="G107" s="482"/>
      <c r="H107" s="482">
        <v>8070.36</v>
      </c>
      <c r="I107" s="482"/>
      <c r="J107" s="482"/>
      <c r="K107" s="482">
        <v>8070.36</v>
      </c>
      <c r="L107" s="482"/>
      <c r="M107" s="482"/>
      <c r="N107" s="482">
        <v>-8070.36</v>
      </c>
      <c r="O107" s="482"/>
    </row>
    <row r="108" spans="1:15" ht="18" customHeight="1" x14ac:dyDescent="0.3">
      <c r="A108" s="484" t="s">
        <v>748</v>
      </c>
      <c r="B108" s="484"/>
      <c r="C108" s="484"/>
      <c r="D108" s="484"/>
      <c r="E108" s="484"/>
      <c r="F108" s="482">
        <v>0</v>
      </c>
      <c r="G108" s="482"/>
      <c r="H108" s="482">
        <v>4297.3599999999997</v>
      </c>
      <c r="I108" s="482"/>
      <c r="J108" s="482"/>
      <c r="K108" s="482">
        <v>4297.3599999999997</v>
      </c>
      <c r="L108" s="482"/>
      <c r="M108" s="482"/>
      <c r="N108" s="482">
        <v>-4297.3599999999997</v>
      </c>
      <c r="O108" s="482"/>
    </row>
    <row r="109" spans="1:15" ht="18" customHeight="1" x14ac:dyDescent="0.3">
      <c r="A109" s="484" t="s">
        <v>749</v>
      </c>
      <c r="B109" s="484"/>
      <c r="C109" s="484"/>
      <c r="D109" s="484"/>
      <c r="E109" s="484"/>
      <c r="F109" s="482">
        <v>0</v>
      </c>
      <c r="G109" s="482"/>
      <c r="H109" s="482">
        <v>792.95</v>
      </c>
      <c r="I109" s="482"/>
      <c r="J109" s="482"/>
      <c r="K109" s="482">
        <v>792.95</v>
      </c>
      <c r="L109" s="482"/>
      <c r="M109" s="482"/>
      <c r="N109" s="482">
        <v>-792.95</v>
      </c>
      <c r="O109" s="482"/>
    </row>
    <row r="110" spans="1:15" ht="18" customHeight="1" x14ac:dyDescent="0.3">
      <c r="A110" s="484" t="s">
        <v>750</v>
      </c>
      <c r="B110" s="484"/>
      <c r="C110" s="484"/>
      <c r="D110" s="484"/>
      <c r="E110" s="484"/>
      <c r="F110" s="482">
        <v>0</v>
      </c>
      <c r="G110" s="482"/>
      <c r="H110" s="482">
        <v>581.38</v>
      </c>
      <c r="I110" s="482"/>
      <c r="J110" s="482"/>
      <c r="K110" s="482">
        <v>581.38</v>
      </c>
      <c r="L110" s="482"/>
      <c r="M110" s="482"/>
      <c r="N110" s="482">
        <v>-581.38</v>
      </c>
      <c r="O110" s="482"/>
    </row>
    <row r="111" spans="1:15" ht="21.75" customHeight="1" x14ac:dyDescent="0.3">
      <c r="A111" s="484" t="s">
        <v>751</v>
      </c>
      <c r="B111" s="484"/>
      <c r="C111" s="484"/>
      <c r="D111" s="484"/>
      <c r="E111" s="484"/>
      <c r="F111" s="482">
        <v>0</v>
      </c>
      <c r="G111" s="482"/>
      <c r="H111" s="482">
        <v>147.6</v>
      </c>
      <c r="I111" s="482"/>
      <c r="J111" s="482"/>
      <c r="K111" s="482">
        <v>147.6</v>
      </c>
      <c r="L111" s="482"/>
      <c r="M111" s="482"/>
      <c r="N111" s="482">
        <v>-147.6</v>
      </c>
      <c r="O111" s="482"/>
    </row>
    <row r="112" spans="1:15" ht="18" customHeight="1" x14ac:dyDescent="0.3">
      <c r="A112" s="484" t="s">
        <v>752</v>
      </c>
      <c r="B112" s="484"/>
      <c r="C112" s="484"/>
      <c r="D112" s="484"/>
      <c r="E112" s="484"/>
      <c r="F112" s="482">
        <v>0</v>
      </c>
      <c r="G112" s="482"/>
      <c r="H112" s="482">
        <v>103.09</v>
      </c>
      <c r="I112" s="482"/>
      <c r="J112" s="482"/>
      <c r="K112" s="482">
        <v>103.09</v>
      </c>
      <c r="L112" s="482"/>
      <c r="M112" s="482"/>
      <c r="N112" s="482">
        <v>-103.09</v>
      </c>
      <c r="O112" s="482"/>
    </row>
    <row r="113" spans="1:15" ht="18" customHeight="1" x14ac:dyDescent="0.3">
      <c r="A113" s="484" t="s">
        <v>753</v>
      </c>
      <c r="B113" s="484"/>
      <c r="C113" s="484"/>
      <c r="D113" s="484"/>
      <c r="E113" s="484"/>
      <c r="F113" s="482">
        <v>0</v>
      </c>
      <c r="G113" s="482"/>
      <c r="H113" s="482">
        <v>0</v>
      </c>
      <c r="I113" s="482"/>
      <c r="J113" s="482"/>
      <c r="K113" s="482">
        <v>0</v>
      </c>
      <c r="L113" s="482"/>
      <c r="M113" s="482"/>
      <c r="N113" s="482">
        <v>0</v>
      </c>
      <c r="O113" s="482"/>
    </row>
    <row r="114" spans="1:15" ht="18" customHeight="1" x14ac:dyDescent="0.3">
      <c r="A114" s="479" t="s">
        <v>754</v>
      </c>
      <c r="B114" s="479"/>
      <c r="C114" s="479"/>
      <c r="D114" s="479"/>
      <c r="E114" s="479"/>
      <c r="F114" s="476">
        <v>0</v>
      </c>
      <c r="G114" s="476"/>
      <c r="H114" s="476">
        <v>0</v>
      </c>
      <c r="I114" s="476"/>
      <c r="J114" s="476"/>
      <c r="K114" s="476">
        <v>0</v>
      </c>
      <c r="L114" s="476"/>
      <c r="M114" s="476"/>
      <c r="N114" s="476">
        <v>0</v>
      </c>
      <c r="O114" s="476"/>
    </row>
    <row r="115" spans="1:15" ht="18" customHeight="1" x14ac:dyDescent="0.3">
      <c r="A115" s="484" t="s">
        <v>755</v>
      </c>
      <c r="B115" s="484"/>
      <c r="C115" s="484"/>
      <c r="D115" s="484"/>
      <c r="E115" s="484"/>
      <c r="F115" s="482">
        <v>0</v>
      </c>
      <c r="G115" s="482"/>
      <c r="H115" s="482">
        <v>0</v>
      </c>
      <c r="I115" s="482"/>
      <c r="J115" s="482"/>
      <c r="K115" s="482">
        <v>0</v>
      </c>
      <c r="L115" s="482"/>
      <c r="M115" s="482"/>
      <c r="N115" s="482">
        <v>0</v>
      </c>
      <c r="O115" s="482"/>
    </row>
    <row r="116" spans="1:15" ht="18" customHeight="1" x14ac:dyDescent="0.3">
      <c r="A116" s="484" t="s">
        <v>756</v>
      </c>
      <c r="B116" s="484"/>
      <c r="C116" s="484"/>
      <c r="D116" s="484"/>
      <c r="E116" s="484"/>
      <c r="F116" s="482">
        <v>0</v>
      </c>
      <c r="G116" s="482"/>
      <c r="H116" s="482">
        <v>0</v>
      </c>
      <c r="I116" s="482"/>
      <c r="J116" s="482"/>
      <c r="K116" s="482">
        <v>0</v>
      </c>
      <c r="L116" s="482"/>
      <c r="M116" s="482"/>
      <c r="N116" s="482">
        <v>0</v>
      </c>
      <c r="O116" s="482"/>
    </row>
    <row r="117" spans="1:15" ht="22.5" customHeight="1" x14ac:dyDescent="0.3">
      <c r="A117" s="484" t="s">
        <v>757</v>
      </c>
      <c r="B117" s="484"/>
      <c r="C117" s="484"/>
      <c r="D117" s="484"/>
      <c r="E117" s="484"/>
      <c r="F117" s="482">
        <v>0</v>
      </c>
      <c r="G117" s="482"/>
      <c r="H117" s="482">
        <v>0</v>
      </c>
      <c r="I117" s="482"/>
      <c r="J117" s="482"/>
      <c r="K117" s="482">
        <v>0</v>
      </c>
      <c r="L117" s="482"/>
      <c r="M117" s="482"/>
      <c r="N117" s="482">
        <v>0</v>
      </c>
      <c r="O117" s="482"/>
    </row>
    <row r="118" spans="1:15" ht="22.5" customHeight="1" x14ac:dyDescent="0.3">
      <c r="A118" s="484" t="s">
        <v>758</v>
      </c>
      <c r="B118" s="484"/>
      <c r="C118" s="484"/>
      <c r="D118" s="484"/>
      <c r="E118" s="484"/>
      <c r="F118" s="482">
        <v>0</v>
      </c>
      <c r="G118" s="482"/>
      <c r="H118" s="482">
        <v>0</v>
      </c>
      <c r="I118" s="482"/>
      <c r="J118" s="482"/>
      <c r="K118" s="482">
        <v>0</v>
      </c>
      <c r="L118" s="482"/>
      <c r="M118" s="482"/>
      <c r="N118" s="482">
        <v>0</v>
      </c>
      <c r="O118" s="482"/>
    </row>
    <row r="119" spans="1:15" ht="18" customHeight="1" x14ac:dyDescent="0.3">
      <c r="A119" s="484" t="s">
        <v>759</v>
      </c>
      <c r="B119" s="484"/>
      <c r="C119" s="484"/>
      <c r="D119" s="484"/>
      <c r="E119" s="484"/>
      <c r="F119" s="482">
        <v>0</v>
      </c>
      <c r="G119" s="482"/>
      <c r="H119" s="482">
        <v>0</v>
      </c>
      <c r="I119" s="482"/>
      <c r="J119" s="482"/>
      <c r="K119" s="482">
        <v>0</v>
      </c>
      <c r="L119" s="482"/>
      <c r="M119" s="482"/>
      <c r="N119" s="482">
        <v>0</v>
      </c>
      <c r="O119" s="482"/>
    </row>
    <row r="120" spans="1:15" ht="22.5" customHeight="1" x14ac:dyDescent="0.3">
      <c r="A120" s="484" t="s">
        <v>760</v>
      </c>
      <c r="B120" s="484"/>
      <c r="C120" s="484"/>
      <c r="D120" s="484"/>
      <c r="E120" s="484"/>
      <c r="F120" s="482">
        <v>0</v>
      </c>
      <c r="G120" s="482"/>
      <c r="H120" s="482">
        <v>0</v>
      </c>
      <c r="I120" s="482"/>
      <c r="J120" s="482"/>
      <c r="K120" s="482">
        <v>0</v>
      </c>
      <c r="L120" s="482"/>
      <c r="M120" s="482"/>
      <c r="N120" s="482">
        <v>0</v>
      </c>
      <c r="O120" s="482"/>
    </row>
    <row r="121" spans="1:15" ht="21.75" customHeight="1" x14ac:dyDescent="0.3">
      <c r="A121" s="484" t="s">
        <v>761</v>
      </c>
      <c r="B121" s="484"/>
      <c r="C121" s="484"/>
      <c r="D121" s="484"/>
      <c r="E121" s="484"/>
      <c r="F121" s="482">
        <v>0</v>
      </c>
      <c r="G121" s="482"/>
      <c r="H121" s="482">
        <v>0</v>
      </c>
      <c r="I121" s="482"/>
      <c r="J121" s="482"/>
      <c r="K121" s="482">
        <v>0</v>
      </c>
      <c r="L121" s="482"/>
      <c r="M121" s="482"/>
      <c r="N121" s="482">
        <v>0</v>
      </c>
      <c r="O121" s="482"/>
    </row>
    <row r="122" spans="1:15" ht="18" customHeight="1" x14ac:dyDescent="0.3">
      <c r="A122" s="479" t="s">
        <v>762</v>
      </c>
      <c r="B122" s="479"/>
      <c r="C122" s="479"/>
      <c r="D122" s="479"/>
      <c r="E122" s="479"/>
      <c r="F122" s="476">
        <v>1141314.9099999999</v>
      </c>
      <c r="G122" s="476"/>
      <c r="H122" s="476">
        <v>610283.79</v>
      </c>
      <c r="I122" s="476"/>
      <c r="J122" s="476"/>
      <c r="K122" s="476">
        <v>610283.79</v>
      </c>
      <c r="L122" s="476"/>
      <c r="M122" s="476"/>
      <c r="N122" s="476">
        <v>531031.12</v>
      </c>
      <c r="O122" s="476"/>
    </row>
    <row r="123" spans="1:15" ht="18" customHeight="1" x14ac:dyDescent="0.3">
      <c r="A123" s="480" t="s">
        <v>763</v>
      </c>
      <c r="B123" s="480"/>
      <c r="C123" s="480"/>
      <c r="D123" s="480"/>
      <c r="E123" s="480"/>
      <c r="F123" s="476">
        <v>0</v>
      </c>
      <c r="G123" s="476"/>
      <c r="H123" s="476">
        <v>0</v>
      </c>
      <c r="I123" s="476"/>
      <c r="J123" s="476"/>
      <c r="K123" s="476">
        <v>0</v>
      </c>
      <c r="L123" s="476"/>
      <c r="M123" s="476"/>
      <c r="N123" s="476">
        <v>0</v>
      </c>
      <c r="O123" s="476"/>
    </row>
    <row r="124" spans="1:15" ht="18" customHeight="1" x14ac:dyDescent="0.3">
      <c r="A124" s="481" t="s">
        <v>755</v>
      </c>
      <c r="B124" s="481"/>
      <c r="C124" s="481"/>
      <c r="D124" s="481"/>
      <c r="E124" s="481"/>
      <c r="F124" s="482">
        <v>0</v>
      </c>
      <c r="G124" s="482"/>
      <c r="H124" s="482">
        <v>0</v>
      </c>
      <c r="I124" s="482"/>
      <c r="J124" s="482"/>
      <c r="K124" s="482">
        <v>0</v>
      </c>
      <c r="L124" s="482"/>
      <c r="M124" s="482"/>
      <c r="N124" s="482">
        <v>0</v>
      </c>
      <c r="O124" s="482"/>
    </row>
    <row r="125" spans="1:15" ht="18" customHeight="1" x14ac:dyDescent="0.3">
      <c r="A125" s="481" t="s">
        <v>756</v>
      </c>
      <c r="B125" s="481"/>
      <c r="C125" s="481"/>
      <c r="D125" s="481"/>
      <c r="E125" s="481"/>
      <c r="F125" s="482">
        <v>0</v>
      </c>
      <c r="G125" s="482"/>
      <c r="H125" s="482">
        <v>0</v>
      </c>
      <c r="I125" s="482"/>
      <c r="J125" s="482"/>
      <c r="K125" s="482">
        <v>0</v>
      </c>
      <c r="L125" s="482"/>
      <c r="M125" s="482"/>
      <c r="N125" s="482">
        <v>0</v>
      </c>
      <c r="O125" s="482"/>
    </row>
    <row r="126" spans="1:15" ht="19.5" customHeight="1" x14ac:dyDescent="0.3">
      <c r="A126" s="480" t="s">
        <v>764</v>
      </c>
      <c r="B126" s="480"/>
      <c r="C126" s="480"/>
      <c r="D126" s="480"/>
      <c r="E126" s="480"/>
      <c r="F126" s="476">
        <v>0</v>
      </c>
      <c r="G126" s="476"/>
      <c r="H126" s="476">
        <v>0</v>
      </c>
      <c r="I126" s="476"/>
      <c r="J126" s="476"/>
      <c r="K126" s="476">
        <v>0</v>
      </c>
      <c r="L126" s="476"/>
      <c r="M126" s="476"/>
      <c r="N126" s="476">
        <v>0</v>
      </c>
      <c r="O126" s="476"/>
    </row>
    <row r="127" spans="1:15" ht="18" customHeight="1" x14ac:dyDescent="0.3">
      <c r="A127" s="481" t="s">
        <v>755</v>
      </c>
      <c r="B127" s="481"/>
      <c r="C127" s="481"/>
      <c r="D127" s="481"/>
      <c r="E127" s="481"/>
      <c r="F127" s="482">
        <v>0</v>
      </c>
      <c r="G127" s="482"/>
      <c r="H127" s="482">
        <v>0</v>
      </c>
      <c r="I127" s="482"/>
      <c r="J127" s="482"/>
      <c r="K127" s="482">
        <v>0</v>
      </c>
      <c r="L127" s="482"/>
      <c r="M127" s="482"/>
      <c r="N127" s="482">
        <v>0</v>
      </c>
      <c r="O127" s="482"/>
    </row>
    <row r="128" spans="1:15" ht="18" customHeight="1" x14ac:dyDescent="0.3">
      <c r="A128" s="481" t="s">
        <v>756</v>
      </c>
      <c r="B128" s="481"/>
      <c r="C128" s="481"/>
      <c r="D128" s="481"/>
      <c r="E128" s="481"/>
      <c r="F128" s="482">
        <v>0</v>
      </c>
      <c r="G128" s="482"/>
      <c r="H128" s="482">
        <v>0</v>
      </c>
      <c r="I128" s="482"/>
      <c r="J128" s="482"/>
      <c r="K128" s="482">
        <v>0</v>
      </c>
      <c r="L128" s="482"/>
      <c r="M128" s="482"/>
      <c r="N128" s="482">
        <v>0</v>
      </c>
      <c r="O128" s="482"/>
    </row>
    <row r="129" spans="1:15" ht="18" customHeight="1" x14ac:dyDescent="0.3">
      <c r="A129" s="480" t="s">
        <v>765</v>
      </c>
      <c r="B129" s="480"/>
      <c r="C129" s="480"/>
      <c r="D129" s="480"/>
      <c r="E129" s="480"/>
      <c r="F129" s="476">
        <v>141314.91</v>
      </c>
      <c r="G129" s="476"/>
      <c r="H129" s="476">
        <v>46155.25</v>
      </c>
      <c r="I129" s="476"/>
      <c r="J129" s="476"/>
      <c r="K129" s="476">
        <v>46155.25</v>
      </c>
      <c r="L129" s="476"/>
      <c r="M129" s="476"/>
      <c r="N129" s="476">
        <v>95159.66</v>
      </c>
      <c r="O129" s="476"/>
    </row>
    <row r="130" spans="1:15" ht="18" customHeight="1" x14ac:dyDescent="0.3">
      <c r="A130" s="481" t="s">
        <v>766</v>
      </c>
      <c r="B130" s="481"/>
      <c r="C130" s="481"/>
      <c r="D130" s="481"/>
      <c r="E130" s="481"/>
      <c r="F130" s="482">
        <v>141314.91</v>
      </c>
      <c r="G130" s="482"/>
      <c r="H130" s="482">
        <v>38269.519999999997</v>
      </c>
      <c r="I130" s="482"/>
      <c r="J130" s="482"/>
      <c r="K130" s="482">
        <v>38269.519999999997</v>
      </c>
      <c r="L130" s="482"/>
      <c r="M130" s="482"/>
      <c r="N130" s="482">
        <v>103045.39</v>
      </c>
      <c r="O130" s="482"/>
    </row>
    <row r="131" spans="1:15" ht="18" customHeight="1" x14ac:dyDescent="0.3">
      <c r="A131" s="481" t="s">
        <v>767</v>
      </c>
      <c r="B131" s="481"/>
      <c r="C131" s="481"/>
      <c r="D131" s="481"/>
      <c r="E131" s="481"/>
      <c r="F131" s="482">
        <v>0</v>
      </c>
      <c r="G131" s="482"/>
      <c r="H131" s="482">
        <v>7122.27</v>
      </c>
      <c r="I131" s="482"/>
      <c r="J131" s="482"/>
      <c r="K131" s="482">
        <v>7122.27</v>
      </c>
      <c r="L131" s="482"/>
      <c r="M131" s="482"/>
      <c r="N131" s="482">
        <v>-7122.27</v>
      </c>
      <c r="O131" s="482"/>
    </row>
    <row r="132" spans="1:15" ht="18" customHeight="1" x14ac:dyDescent="0.3">
      <c r="A132" s="481" t="s">
        <v>768</v>
      </c>
      <c r="B132" s="481"/>
      <c r="C132" s="481"/>
      <c r="D132" s="481"/>
      <c r="E132" s="481"/>
      <c r="F132" s="482">
        <v>0</v>
      </c>
      <c r="G132" s="482"/>
      <c r="H132" s="482">
        <v>763.46</v>
      </c>
      <c r="I132" s="482"/>
      <c r="J132" s="482"/>
      <c r="K132" s="482">
        <v>763.46</v>
      </c>
      <c r="L132" s="482"/>
      <c r="M132" s="482"/>
      <c r="N132" s="482">
        <v>-763.46</v>
      </c>
      <c r="O132" s="482"/>
    </row>
    <row r="133" spans="1:15" ht="22.5" customHeight="1" x14ac:dyDescent="0.3">
      <c r="A133" s="481" t="s">
        <v>769</v>
      </c>
      <c r="B133" s="481"/>
      <c r="C133" s="481"/>
      <c r="D133" s="481"/>
      <c r="E133" s="481"/>
      <c r="F133" s="482">
        <v>0</v>
      </c>
      <c r="G133" s="482"/>
      <c r="H133" s="482">
        <v>0</v>
      </c>
      <c r="I133" s="482"/>
      <c r="J133" s="482"/>
      <c r="K133" s="482">
        <v>0</v>
      </c>
      <c r="L133" s="482"/>
      <c r="M133" s="482"/>
      <c r="N133" s="482">
        <v>0</v>
      </c>
      <c r="O133" s="482"/>
    </row>
    <row r="134" spans="1:15" ht="19.5" customHeight="1" x14ac:dyDescent="0.3">
      <c r="A134" s="480" t="s">
        <v>770</v>
      </c>
      <c r="B134" s="480"/>
      <c r="C134" s="480"/>
      <c r="D134" s="480"/>
      <c r="E134" s="480"/>
      <c r="F134" s="476">
        <v>1000000</v>
      </c>
      <c r="G134" s="476"/>
      <c r="H134" s="476">
        <v>564128.54</v>
      </c>
      <c r="I134" s="476"/>
      <c r="J134" s="476"/>
      <c r="K134" s="476">
        <v>564128.54</v>
      </c>
      <c r="L134" s="476"/>
      <c r="M134" s="476"/>
      <c r="N134" s="476">
        <v>435871.46</v>
      </c>
      <c r="O134" s="476"/>
    </row>
    <row r="135" spans="1:15" ht="18" customHeight="1" x14ac:dyDescent="0.3">
      <c r="A135" s="481" t="s">
        <v>771</v>
      </c>
      <c r="B135" s="481"/>
      <c r="C135" s="481"/>
      <c r="D135" s="481"/>
      <c r="E135" s="481"/>
      <c r="F135" s="482">
        <v>0</v>
      </c>
      <c r="G135" s="482"/>
      <c r="H135" s="482">
        <v>0</v>
      </c>
      <c r="I135" s="482"/>
      <c r="J135" s="482"/>
      <c r="K135" s="482">
        <v>0</v>
      </c>
      <c r="L135" s="482"/>
      <c r="M135" s="482"/>
      <c r="N135" s="482">
        <v>0</v>
      </c>
      <c r="O135" s="482"/>
    </row>
    <row r="136" spans="1:15" ht="18" customHeight="1" x14ac:dyDescent="0.3">
      <c r="A136" s="481" t="s">
        <v>772</v>
      </c>
      <c r="B136" s="481"/>
      <c r="C136" s="481"/>
      <c r="D136" s="481"/>
      <c r="E136" s="481"/>
      <c r="F136" s="482">
        <v>0</v>
      </c>
      <c r="G136" s="482"/>
      <c r="H136" s="482">
        <v>0</v>
      </c>
      <c r="I136" s="482"/>
      <c r="J136" s="482"/>
      <c r="K136" s="482">
        <v>0</v>
      </c>
      <c r="L136" s="482"/>
      <c r="M136" s="482"/>
      <c r="N136" s="482">
        <v>0</v>
      </c>
      <c r="O136" s="482"/>
    </row>
    <row r="137" spans="1:15" ht="18" customHeight="1" x14ac:dyDescent="0.3">
      <c r="A137" s="481" t="s">
        <v>773</v>
      </c>
      <c r="B137" s="481"/>
      <c r="C137" s="481"/>
      <c r="D137" s="481"/>
      <c r="E137" s="481"/>
      <c r="F137" s="482">
        <v>0</v>
      </c>
      <c r="G137" s="482"/>
      <c r="H137" s="482">
        <v>0</v>
      </c>
      <c r="I137" s="482"/>
      <c r="J137" s="482"/>
      <c r="K137" s="482">
        <v>0</v>
      </c>
      <c r="L137" s="482"/>
      <c r="M137" s="482"/>
      <c r="N137" s="482">
        <v>0</v>
      </c>
      <c r="O137" s="482"/>
    </row>
    <row r="138" spans="1:15" ht="21.75" customHeight="1" x14ac:dyDescent="0.3">
      <c r="A138" s="481" t="s">
        <v>774</v>
      </c>
      <c r="B138" s="481"/>
      <c r="C138" s="481"/>
      <c r="D138" s="481"/>
      <c r="E138" s="481"/>
      <c r="F138" s="482">
        <v>1000000</v>
      </c>
      <c r="G138" s="482"/>
      <c r="H138" s="482">
        <v>564128.54</v>
      </c>
      <c r="I138" s="482"/>
      <c r="J138" s="482"/>
      <c r="K138" s="482">
        <v>564128.54</v>
      </c>
      <c r="L138" s="482"/>
      <c r="M138" s="482"/>
      <c r="N138" s="482">
        <v>435871.46</v>
      </c>
      <c r="O138" s="482"/>
    </row>
    <row r="139" spans="1:15" ht="18" customHeight="1" x14ac:dyDescent="0.3">
      <c r="A139" s="478" t="s">
        <v>775</v>
      </c>
      <c r="B139" s="478"/>
      <c r="C139" s="478"/>
      <c r="D139" s="478"/>
      <c r="E139" s="478"/>
      <c r="F139" s="476">
        <v>0</v>
      </c>
      <c r="G139" s="476"/>
      <c r="H139" s="476">
        <v>0</v>
      </c>
      <c r="I139" s="476"/>
      <c r="J139" s="476"/>
      <c r="K139" s="476">
        <v>0</v>
      </c>
      <c r="L139" s="476"/>
      <c r="M139" s="476"/>
      <c r="N139" s="476">
        <v>0</v>
      </c>
      <c r="O139" s="476"/>
    </row>
    <row r="140" spans="1:15" ht="18" customHeight="1" x14ac:dyDescent="0.3">
      <c r="A140" s="483" t="s">
        <v>776</v>
      </c>
      <c r="B140" s="483"/>
      <c r="C140" s="483"/>
      <c r="D140" s="483"/>
      <c r="E140" s="483"/>
      <c r="F140" s="482">
        <v>0</v>
      </c>
      <c r="G140" s="482"/>
      <c r="H140" s="482">
        <v>0</v>
      </c>
      <c r="I140" s="482"/>
      <c r="J140" s="482"/>
      <c r="K140" s="482">
        <v>0</v>
      </c>
      <c r="L140" s="482"/>
      <c r="M140" s="482"/>
      <c r="N140" s="482">
        <v>0</v>
      </c>
      <c r="O140" s="482"/>
    </row>
    <row r="141" spans="1:15" ht="18" customHeight="1" x14ac:dyDescent="0.3">
      <c r="A141" s="483" t="s">
        <v>777</v>
      </c>
      <c r="B141" s="483"/>
      <c r="C141" s="483"/>
      <c r="D141" s="483"/>
      <c r="E141" s="483"/>
      <c r="F141" s="482">
        <v>0</v>
      </c>
      <c r="G141" s="482"/>
      <c r="H141" s="482">
        <v>0</v>
      </c>
      <c r="I141" s="482"/>
      <c r="J141" s="482"/>
      <c r="K141" s="482">
        <v>0</v>
      </c>
      <c r="L141" s="482"/>
      <c r="M141" s="482"/>
      <c r="N141" s="482">
        <v>0</v>
      </c>
      <c r="O141" s="482"/>
    </row>
    <row r="142" spans="1:15" ht="18" customHeight="1" x14ac:dyDescent="0.3">
      <c r="A142" s="483" t="s">
        <v>778</v>
      </c>
      <c r="B142" s="483"/>
      <c r="C142" s="483"/>
      <c r="D142" s="483"/>
      <c r="E142" s="483"/>
      <c r="F142" s="482">
        <v>0</v>
      </c>
      <c r="G142" s="482"/>
      <c r="H142" s="482">
        <v>0</v>
      </c>
      <c r="I142" s="482"/>
      <c r="J142" s="482"/>
      <c r="K142" s="482">
        <v>0</v>
      </c>
      <c r="L142" s="482"/>
      <c r="M142" s="482"/>
      <c r="N142" s="482">
        <v>0</v>
      </c>
      <c r="O142" s="482"/>
    </row>
    <row r="143" spans="1:15" ht="18" customHeight="1" x14ac:dyDescent="0.3">
      <c r="A143" s="483" t="s">
        <v>779</v>
      </c>
      <c r="B143" s="483"/>
      <c r="C143" s="483"/>
      <c r="D143" s="483"/>
      <c r="E143" s="483"/>
      <c r="F143" s="482">
        <v>0</v>
      </c>
      <c r="G143" s="482"/>
      <c r="H143" s="482">
        <v>0</v>
      </c>
      <c r="I143" s="482"/>
      <c r="J143" s="482"/>
      <c r="K143" s="482">
        <v>0</v>
      </c>
      <c r="L143" s="482"/>
      <c r="M143" s="482"/>
      <c r="N143" s="482">
        <v>0</v>
      </c>
      <c r="O143" s="482"/>
    </row>
    <row r="144" spans="1:15" ht="18" customHeight="1" x14ac:dyDescent="0.3">
      <c r="A144" s="478" t="s">
        <v>780</v>
      </c>
      <c r="B144" s="478"/>
      <c r="C144" s="478"/>
      <c r="D144" s="478"/>
      <c r="E144" s="478"/>
      <c r="F144" s="476">
        <v>15115.26</v>
      </c>
      <c r="G144" s="476"/>
      <c r="H144" s="476">
        <v>10077.049999999999</v>
      </c>
      <c r="I144" s="476"/>
      <c r="J144" s="476"/>
      <c r="K144" s="476">
        <v>10077.049999999999</v>
      </c>
      <c r="L144" s="476"/>
      <c r="M144" s="476"/>
      <c r="N144" s="476">
        <v>5038.21</v>
      </c>
      <c r="O144" s="476"/>
    </row>
    <row r="145" spans="1:15" ht="18" customHeight="1" x14ac:dyDescent="0.3">
      <c r="A145" s="479" t="s">
        <v>781</v>
      </c>
      <c r="B145" s="479"/>
      <c r="C145" s="479"/>
      <c r="D145" s="479"/>
      <c r="E145" s="479"/>
      <c r="F145" s="476">
        <v>0</v>
      </c>
      <c r="G145" s="476"/>
      <c r="H145" s="476">
        <v>0</v>
      </c>
      <c r="I145" s="476"/>
      <c r="J145" s="476"/>
      <c r="K145" s="476">
        <v>0</v>
      </c>
      <c r="L145" s="476"/>
      <c r="M145" s="476"/>
      <c r="N145" s="476">
        <v>0</v>
      </c>
      <c r="O145" s="476"/>
    </row>
    <row r="146" spans="1:15" ht="18" customHeight="1" x14ac:dyDescent="0.3">
      <c r="A146" s="484" t="s">
        <v>782</v>
      </c>
      <c r="B146" s="484"/>
      <c r="C146" s="484"/>
      <c r="D146" s="484"/>
      <c r="E146" s="484"/>
      <c r="F146" s="482">
        <v>0</v>
      </c>
      <c r="G146" s="482"/>
      <c r="H146" s="482">
        <v>0</v>
      </c>
      <c r="I146" s="482"/>
      <c r="J146" s="482"/>
      <c r="K146" s="482">
        <v>0</v>
      </c>
      <c r="L146" s="482"/>
      <c r="M146" s="482"/>
      <c r="N146" s="482">
        <v>0</v>
      </c>
      <c r="O146" s="482"/>
    </row>
    <row r="147" spans="1:15" ht="22.5" customHeight="1" x14ac:dyDescent="0.3">
      <c r="A147" s="484" t="s">
        <v>783</v>
      </c>
      <c r="B147" s="484"/>
      <c r="C147" s="484"/>
      <c r="D147" s="484"/>
      <c r="E147" s="484"/>
      <c r="F147" s="482">
        <v>0</v>
      </c>
      <c r="G147" s="482"/>
      <c r="H147" s="482">
        <v>0</v>
      </c>
      <c r="I147" s="482"/>
      <c r="J147" s="482"/>
      <c r="K147" s="482">
        <v>0</v>
      </c>
      <c r="L147" s="482"/>
      <c r="M147" s="482"/>
      <c r="N147" s="482">
        <v>0</v>
      </c>
      <c r="O147" s="482"/>
    </row>
    <row r="148" spans="1:15" ht="18" customHeight="1" x14ac:dyDescent="0.3">
      <c r="A148" s="479" t="s">
        <v>784</v>
      </c>
      <c r="B148" s="479"/>
      <c r="C148" s="479"/>
      <c r="D148" s="479"/>
      <c r="E148" s="479"/>
      <c r="F148" s="476">
        <v>0</v>
      </c>
      <c r="G148" s="476"/>
      <c r="H148" s="476">
        <v>2374.1999999999998</v>
      </c>
      <c r="I148" s="476"/>
      <c r="J148" s="476"/>
      <c r="K148" s="476">
        <v>2374.1999999999998</v>
      </c>
      <c r="L148" s="476"/>
      <c r="M148" s="476"/>
      <c r="N148" s="476">
        <v>-2374.1999999999998</v>
      </c>
      <c r="O148" s="476"/>
    </row>
    <row r="149" spans="1:15" ht="18" customHeight="1" x14ac:dyDescent="0.3">
      <c r="A149" s="484" t="s">
        <v>755</v>
      </c>
      <c r="B149" s="484"/>
      <c r="C149" s="484"/>
      <c r="D149" s="484"/>
      <c r="E149" s="484"/>
      <c r="F149" s="482">
        <v>0</v>
      </c>
      <c r="G149" s="482"/>
      <c r="H149" s="482">
        <v>0</v>
      </c>
      <c r="I149" s="482"/>
      <c r="J149" s="482"/>
      <c r="K149" s="482">
        <v>0</v>
      </c>
      <c r="L149" s="482"/>
      <c r="M149" s="482"/>
      <c r="N149" s="482">
        <v>0</v>
      </c>
      <c r="O149" s="482"/>
    </row>
    <row r="150" spans="1:15" ht="18" customHeight="1" x14ac:dyDescent="0.3">
      <c r="A150" s="484" t="s">
        <v>756</v>
      </c>
      <c r="B150" s="484"/>
      <c r="C150" s="484"/>
      <c r="D150" s="484"/>
      <c r="E150" s="484"/>
      <c r="F150" s="482">
        <v>0</v>
      </c>
      <c r="G150" s="482"/>
      <c r="H150" s="482">
        <v>0</v>
      </c>
      <c r="I150" s="482"/>
      <c r="J150" s="482"/>
      <c r="K150" s="482">
        <v>0</v>
      </c>
      <c r="L150" s="482"/>
      <c r="M150" s="482"/>
      <c r="N150" s="482">
        <v>0</v>
      </c>
      <c r="O150" s="482"/>
    </row>
    <row r="151" spans="1:15" ht="22.5" customHeight="1" x14ac:dyDescent="0.3">
      <c r="A151" s="484" t="s">
        <v>785</v>
      </c>
      <c r="B151" s="484"/>
      <c r="C151" s="484"/>
      <c r="D151" s="484"/>
      <c r="E151" s="484"/>
      <c r="F151" s="482">
        <v>0</v>
      </c>
      <c r="G151" s="482"/>
      <c r="H151" s="482">
        <v>883.74</v>
      </c>
      <c r="I151" s="482"/>
      <c r="J151" s="482"/>
      <c r="K151" s="482">
        <v>883.74</v>
      </c>
      <c r="L151" s="482"/>
      <c r="M151" s="482"/>
      <c r="N151" s="482">
        <v>-883.74</v>
      </c>
      <c r="O151" s="482"/>
    </row>
    <row r="152" spans="1:15" ht="22.5" customHeight="1" x14ac:dyDescent="0.3">
      <c r="A152" s="484" t="s">
        <v>786</v>
      </c>
      <c r="B152" s="484"/>
      <c r="C152" s="484"/>
      <c r="D152" s="484"/>
      <c r="E152" s="484"/>
      <c r="F152" s="482">
        <v>0</v>
      </c>
      <c r="G152" s="482"/>
      <c r="H152" s="482">
        <v>0</v>
      </c>
      <c r="I152" s="482"/>
      <c r="J152" s="482"/>
      <c r="K152" s="482">
        <v>0</v>
      </c>
      <c r="L152" s="482"/>
      <c r="M152" s="482"/>
      <c r="N152" s="482">
        <v>0</v>
      </c>
      <c r="O152" s="482"/>
    </row>
    <row r="153" spans="1:15" ht="18" customHeight="1" x14ac:dyDescent="0.3">
      <c r="A153" s="484" t="s">
        <v>787</v>
      </c>
      <c r="B153" s="484"/>
      <c r="C153" s="484"/>
      <c r="D153" s="484"/>
      <c r="E153" s="484"/>
      <c r="F153" s="482">
        <v>0</v>
      </c>
      <c r="G153" s="482"/>
      <c r="H153" s="482">
        <v>1490.46</v>
      </c>
      <c r="I153" s="482"/>
      <c r="J153" s="482"/>
      <c r="K153" s="482">
        <v>1490.46</v>
      </c>
      <c r="L153" s="482"/>
      <c r="M153" s="482"/>
      <c r="N153" s="482">
        <v>-1490.46</v>
      </c>
      <c r="O153" s="482"/>
    </row>
    <row r="154" spans="1:15" ht="18" customHeight="1" x14ac:dyDescent="0.3">
      <c r="A154" s="484" t="s">
        <v>788</v>
      </c>
      <c r="B154" s="484"/>
      <c r="C154" s="484"/>
      <c r="D154" s="484"/>
      <c r="E154" s="484"/>
      <c r="F154" s="482">
        <v>0</v>
      </c>
      <c r="G154" s="482"/>
      <c r="H154" s="482">
        <v>0</v>
      </c>
      <c r="I154" s="482"/>
      <c r="J154" s="482"/>
      <c r="K154" s="482">
        <v>0</v>
      </c>
      <c r="L154" s="482"/>
      <c r="M154" s="482"/>
      <c r="N154" s="482">
        <v>0</v>
      </c>
      <c r="O154" s="482"/>
    </row>
    <row r="155" spans="1:15" ht="18" customHeight="1" x14ac:dyDescent="0.3">
      <c r="A155" s="484" t="s">
        <v>789</v>
      </c>
      <c r="B155" s="484"/>
      <c r="C155" s="484"/>
      <c r="D155" s="484"/>
      <c r="E155" s="484"/>
      <c r="F155" s="482">
        <v>0</v>
      </c>
      <c r="G155" s="482"/>
      <c r="H155" s="482">
        <v>0</v>
      </c>
      <c r="I155" s="482"/>
      <c r="J155" s="482"/>
      <c r="K155" s="482">
        <v>0</v>
      </c>
      <c r="L155" s="482"/>
      <c r="M155" s="482"/>
      <c r="N155" s="482">
        <v>0</v>
      </c>
      <c r="O155" s="482"/>
    </row>
    <row r="156" spans="1:15" ht="18" customHeight="1" x14ac:dyDescent="0.3">
      <c r="A156" s="484" t="s">
        <v>790</v>
      </c>
      <c r="B156" s="484"/>
      <c r="C156" s="484"/>
      <c r="D156" s="484"/>
      <c r="E156" s="484"/>
      <c r="F156" s="482">
        <v>0</v>
      </c>
      <c r="G156" s="482"/>
      <c r="H156" s="482">
        <v>0</v>
      </c>
      <c r="I156" s="482"/>
      <c r="J156" s="482"/>
      <c r="K156" s="482">
        <v>0</v>
      </c>
      <c r="L156" s="482"/>
      <c r="M156" s="482"/>
      <c r="N156" s="482">
        <v>0</v>
      </c>
      <c r="O156" s="482"/>
    </row>
    <row r="157" spans="1:15" ht="18" customHeight="1" x14ac:dyDescent="0.3">
      <c r="A157" s="479" t="s">
        <v>791</v>
      </c>
      <c r="B157" s="479"/>
      <c r="C157" s="479"/>
      <c r="D157" s="479"/>
      <c r="E157" s="479"/>
      <c r="F157" s="476">
        <v>15115.26</v>
      </c>
      <c r="G157" s="476"/>
      <c r="H157" s="476">
        <v>7257.01</v>
      </c>
      <c r="I157" s="476"/>
      <c r="J157" s="476"/>
      <c r="K157" s="476">
        <v>7257.01</v>
      </c>
      <c r="L157" s="476"/>
      <c r="M157" s="476"/>
      <c r="N157" s="476">
        <v>7858.25</v>
      </c>
      <c r="O157" s="476"/>
    </row>
    <row r="158" spans="1:15" ht="18" customHeight="1" x14ac:dyDescent="0.3">
      <c r="A158" s="484" t="s">
        <v>792</v>
      </c>
      <c r="B158" s="484"/>
      <c r="C158" s="484"/>
      <c r="D158" s="484"/>
      <c r="E158" s="484"/>
      <c r="F158" s="482">
        <v>0</v>
      </c>
      <c r="G158" s="482"/>
      <c r="H158" s="482">
        <v>0</v>
      </c>
      <c r="I158" s="482"/>
      <c r="J158" s="482"/>
      <c r="K158" s="482">
        <v>0</v>
      </c>
      <c r="L158" s="482"/>
      <c r="M158" s="482"/>
      <c r="N158" s="482">
        <v>0</v>
      </c>
      <c r="O158" s="482"/>
    </row>
    <row r="159" spans="1:15" ht="18" customHeight="1" x14ac:dyDescent="0.3">
      <c r="A159" s="484" t="s">
        <v>793</v>
      </c>
      <c r="B159" s="484"/>
      <c r="C159" s="484"/>
      <c r="D159" s="484"/>
      <c r="E159" s="484"/>
      <c r="F159" s="482">
        <v>15115.26</v>
      </c>
      <c r="G159" s="482"/>
      <c r="H159" s="482">
        <v>7257.01</v>
      </c>
      <c r="I159" s="482"/>
      <c r="J159" s="482"/>
      <c r="K159" s="482">
        <v>7257.01</v>
      </c>
      <c r="L159" s="482"/>
      <c r="M159" s="482"/>
      <c r="N159" s="482">
        <v>7858.25</v>
      </c>
      <c r="O159" s="482"/>
    </row>
    <row r="160" spans="1:15" ht="18" customHeight="1" x14ac:dyDescent="0.3">
      <c r="A160" s="479" t="s">
        <v>794</v>
      </c>
      <c r="B160" s="479"/>
      <c r="C160" s="479"/>
      <c r="D160" s="479"/>
      <c r="E160" s="479"/>
      <c r="F160" s="476">
        <v>0</v>
      </c>
      <c r="G160" s="476"/>
      <c r="H160" s="476">
        <v>0</v>
      </c>
      <c r="I160" s="476"/>
      <c r="J160" s="476"/>
      <c r="K160" s="476">
        <v>0</v>
      </c>
      <c r="L160" s="476"/>
      <c r="M160" s="476"/>
      <c r="N160" s="476">
        <v>0</v>
      </c>
      <c r="O160" s="476"/>
    </row>
    <row r="161" spans="1:15" ht="18" customHeight="1" x14ac:dyDescent="0.3">
      <c r="A161" s="484" t="s">
        <v>795</v>
      </c>
      <c r="B161" s="484"/>
      <c r="C161" s="484"/>
      <c r="D161" s="484"/>
      <c r="E161" s="484"/>
      <c r="F161" s="482">
        <v>0</v>
      </c>
      <c r="G161" s="482"/>
      <c r="H161" s="482">
        <v>0</v>
      </c>
      <c r="I161" s="482"/>
      <c r="J161" s="482"/>
      <c r="K161" s="482">
        <v>0</v>
      </c>
      <c r="L161" s="482"/>
      <c r="M161" s="482"/>
      <c r="N161" s="482">
        <v>0</v>
      </c>
      <c r="O161" s="482"/>
    </row>
    <row r="162" spans="1:15" ht="18" customHeight="1" x14ac:dyDescent="0.3">
      <c r="A162" s="479" t="s">
        <v>796</v>
      </c>
      <c r="B162" s="479"/>
      <c r="C162" s="479"/>
      <c r="D162" s="479"/>
      <c r="E162" s="479"/>
      <c r="F162" s="476">
        <v>0</v>
      </c>
      <c r="G162" s="476"/>
      <c r="H162" s="476">
        <v>445.84</v>
      </c>
      <c r="I162" s="476"/>
      <c r="J162" s="476"/>
      <c r="K162" s="476">
        <v>445.84</v>
      </c>
      <c r="L162" s="476"/>
      <c r="M162" s="476"/>
      <c r="N162" s="476">
        <v>-445.84</v>
      </c>
      <c r="O162" s="476"/>
    </row>
    <row r="163" spans="1:15" ht="18" customHeight="1" x14ac:dyDescent="0.3">
      <c r="A163" s="484" t="s">
        <v>797</v>
      </c>
      <c r="B163" s="484"/>
      <c r="C163" s="484"/>
      <c r="D163" s="484"/>
      <c r="E163" s="484"/>
      <c r="F163" s="482">
        <v>0</v>
      </c>
      <c r="G163" s="482"/>
      <c r="H163" s="482">
        <v>405.31</v>
      </c>
      <c r="I163" s="482"/>
      <c r="J163" s="482"/>
      <c r="K163" s="482">
        <v>405.31</v>
      </c>
      <c r="L163" s="482"/>
      <c r="M163" s="482"/>
      <c r="N163" s="482">
        <v>-405.31</v>
      </c>
      <c r="O163" s="482"/>
    </row>
    <row r="164" spans="1:15" ht="18" customHeight="1" x14ac:dyDescent="0.3">
      <c r="A164" s="484" t="s">
        <v>798</v>
      </c>
      <c r="B164" s="484"/>
      <c r="C164" s="484"/>
      <c r="D164" s="484"/>
      <c r="E164" s="484"/>
      <c r="F164" s="482">
        <v>0</v>
      </c>
      <c r="G164" s="482"/>
      <c r="H164" s="482">
        <v>40.53</v>
      </c>
      <c r="I164" s="482"/>
      <c r="J164" s="482"/>
      <c r="K164" s="482">
        <v>40.53</v>
      </c>
      <c r="L164" s="482"/>
      <c r="M164" s="482"/>
      <c r="N164" s="482">
        <v>-40.53</v>
      </c>
      <c r="O164" s="482"/>
    </row>
    <row r="165" spans="1:15" ht="18" customHeight="1" x14ac:dyDescent="0.3">
      <c r="A165" s="477" t="s">
        <v>799</v>
      </c>
      <c r="B165" s="477"/>
      <c r="C165" s="477"/>
      <c r="D165" s="477"/>
      <c r="E165" s="477"/>
      <c r="F165" s="476">
        <v>5590000</v>
      </c>
      <c r="G165" s="476"/>
      <c r="H165" s="476">
        <v>0</v>
      </c>
      <c r="I165" s="476"/>
      <c r="J165" s="476"/>
      <c r="K165" s="476">
        <v>0</v>
      </c>
      <c r="L165" s="476"/>
      <c r="M165" s="476"/>
      <c r="N165" s="476">
        <v>5590000</v>
      </c>
      <c r="O165" s="476"/>
    </row>
    <row r="166" spans="1:15" ht="18" customHeight="1" x14ac:dyDescent="0.3">
      <c r="A166" s="478" t="s">
        <v>800</v>
      </c>
      <c r="B166" s="478"/>
      <c r="C166" s="478"/>
      <c r="D166" s="478"/>
      <c r="E166" s="478"/>
      <c r="F166" s="476">
        <v>0</v>
      </c>
      <c r="G166" s="476"/>
      <c r="H166" s="476">
        <v>0</v>
      </c>
      <c r="I166" s="476"/>
      <c r="J166" s="476"/>
      <c r="K166" s="476">
        <v>0</v>
      </c>
      <c r="L166" s="476"/>
      <c r="M166" s="476"/>
      <c r="N166" s="476">
        <v>0</v>
      </c>
      <c r="O166" s="476"/>
    </row>
    <row r="167" spans="1:15" ht="18" customHeight="1" x14ac:dyDescent="0.3">
      <c r="A167" s="479" t="s">
        <v>801</v>
      </c>
      <c r="B167" s="479"/>
      <c r="C167" s="479"/>
      <c r="D167" s="479"/>
      <c r="E167" s="479"/>
      <c r="F167" s="476">
        <v>0</v>
      </c>
      <c r="G167" s="476"/>
      <c r="H167" s="476">
        <v>0</v>
      </c>
      <c r="I167" s="476"/>
      <c r="J167" s="476"/>
      <c r="K167" s="476">
        <v>0</v>
      </c>
      <c r="L167" s="476"/>
      <c r="M167" s="476"/>
      <c r="N167" s="476">
        <v>0</v>
      </c>
      <c r="O167" s="476"/>
    </row>
    <row r="168" spans="1:15" ht="18" customHeight="1" x14ac:dyDescent="0.3">
      <c r="A168" s="484" t="s">
        <v>802</v>
      </c>
      <c r="B168" s="484"/>
      <c r="C168" s="484"/>
      <c r="D168" s="484"/>
      <c r="E168" s="484"/>
      <c r="F168" s="482">
        <v>0</v>
      </c>
      <c r="G168" s="482"/>
      <c r="H168" s="482">
        <v>0</v>
      </c>
      <c r="I168" s="482"/>
      <c r="J168" s="482"/>
      <c r="K168" s="482">
        <v>0</v>
      </c>
      <c r="L168" s="482"/>
      <c r="M168" s="482"/>
      <c r="N168" s="482">
        <v>0</v>
      </c>
      <c r="O168" s="482"/>
    </row>
    <row r="169" spans="1:15" ht="21.75" customHeight="1" x14ac:dyDescent="0.3">
      <c r="A169" s="484" t="s">
        <v>803</v>
      </c>
      <c r="B169" s="484"/>
      <c r="C169" s="484"/>
      <c r="D169" s="484"/>
      <c r="E169" s="484"/>
      <c r="F169" s="482">
        <v>0</v>
      </c>
      <c r="G169" s="482"/>
      <c r="H169" s="482">
        <v>0</v>
      </c>
      <c r="I169" s="482"/>
      <c r="J169" s="482"/>
      <c r="K169" s="482">
        <v>0</v>
      </c>
      <c r="L169" s="482"/>
      <c r="M169" s="482"/>
      <c r="N169" s="482">
        <v>0</v>
      </c>
      <c r="O169" s="482"/>
    </row>
    <row r="170" spans="1:15" ht="18" customHeight="1" x14ac:dyDescent="0.3">
      <c r="A170" s="478" t="s">
        <v>804</v>
      </c>
      <c r="B170" s="478"/>
      <c r="C170" s="478"/>
      <c r="D170" s="478"/>
      <c r="E170" s="478"/>
      <c r="F170" s="476">
        <v>0</v>
      </c>
      <c r="G170" s="476"/>
      <c r="H170" s="476">
        <v>0</v>
      </c>
      <c r="I170" s="476"/>
      <c r="J170" s="476"/>
      <c r="K170" s="476">
        <v>0</v>
      </c>
      <c r="L170" s="476"/>
      <c r="M170" s="476"/>
      <c r="N170" s="476">
        <v>0</v>
      </c>
      <c r="O170" s="476"/>
    </row>
    <row r="171" spans="1:15" ht="18" customHeight="1" x14ac:dyDescent="0.3">
      <c r="A171" s="479" t="s">
        <v>805</v>
      </c>
      <c r="B171" s="479"/>
      <c r="C171" s="479"/>
      <c r="D171" s="479"/>
      <c r="E171" s="479"/>
      <c r="F171" s="476">
        <v>0</v>
      </c>
      <c r="G171" s="476"/>
      <c r="H171" s="476">
        <v>0</v>
      </c>
      <c r="I171" s="476"/>
      <c r="J171" s="476"/>
      <c r="K171" s="476">
        <v>0</v>
      </c>
      <c r="L171" s="476"/>
      <c r="M171" s="476"/>
      <c r="N171" s="476">
        <v>0</v>
      </c>
      <c r="O171" s="476"/>
    </row>
    <row r="172" spans="1:15" ht="18" customHeight="1" x14ac:dyDescent="0.3">
      <c r="A172" s="484" t="s">
        <v>806</v>
      </c>
      <c r="B172" s="484"/>
      <c r="C172" s="484"/>
      <c r="D172" s="484"/>
      <c r="E172" s="484"/>
      <c r="F172" s="482">
        <v>0</v>
      </c>
      <c r="G172" s="482"/>
      <c r="H172" s="482">
        <v>0</v>
      </c>
      <c r="I172" s="482"/>
      <c r="J172" s="482"/>
      <c r="K172" s="482">
        <v>0</v>
      </c>
      <c r="L172" s="482"/>
      <c r="M172" s="482"/>
      <c r="N172" s="482">
        <v>0</v>
      </c>
      <c r="O172" s="482"/>
    </row>
    <row r="173" spans="1:15" ht="18" customHeight="1" x14ac:dyDescent="0.3">
      <c r="A173" s="484" t="s">
        <v>807</v>
      </c>
      <c r="B173" s="484"/>
      <c r="C173" s="484"/>
      <c r="D173" s="484"/>
      <c r="E173" s="484"/>
      <c r="F173" s="482">
        <v>0</v>
      </c>
      <c r="G173" s="482"/>
      <c r="H173" s="482">
        <v>0</v>
      </c>
      <c r="I173" s="482"/>
      <c r="J173" s="482"/>
      <c r="K173" s="482">
        <v>0</v>
      </c>
      <c r="L173" s="482"/>
      <c r="M173" s="482"/>
      <c r="N173" s="482">
        <v>0</v>
      </c>
      <c r="O173" s="482"/>
    </row>
    <row r="174" spans="1:15" ht="18" customHeight="1" x14ac:dyDescent="0.3">
      <c r="A174" s="484" t="s">
        <v>808</v>
      </c>
      <c r="B174" s="484"/>
      <c r="C174" s="484"/>
      <c r="D174" s="484"/>
      <c r="E174" s="484"/>
      <c r="F174" s="482">
        <v>0</v>
      </c>
      <c r="G174" s="482"/>
      <c r="H174" s="482">
        <v>0</v>
      </c>
      <c r="I174" s="482"/>
      <c r="J174" s="482"/>
      <c r="K174" s="482">
        <v>0</v>
      </c>
      <c r="L174" s="482"/>
      <c r="M174" s="482"/>
      <c r="N174" s="482">
        <v>0</v>
      </c>
      <c r="O174" s="482"/>
    </row>
    <row r="175" spans="1:15" ht="18" customHeight="1" x14ac:dyDescent="0.3">
      <c r="A175" s="484" t="s">
        <v>809</v>
      </c>
      <c r="B175" s="484"/>
      <c r="C175" s="484"/>
      <c r="D175" s="484"/>
      <c r="E175" s="484"/>
      <c r="F175" s="482">
        <v>0</v>
      </c>
      <c r="G175" s="482"/>
      <c r="H175" s="482">
        <v>0</v>
      </c>
      <c r="I175" s="482"/>
      <c r="J175" s="482"/>
      <c r="K175" s="482">
        <v>0</v>
      </c>
      <c r="L175" s="482"/>
      <c r="M175" s="482"/>
      <c r="N175" s="482">
        <v>0</v>
      </c>
      <c r="O175" s="482"/>
    </row>
    <row r="176" spans="1:15" ht="18" customHeight="1" x14ac:dyDescent="0.3">
      <c r="A176" s="484" t="s">
        <v>810</v>
      </c>
      <c r="B176" s="484"/>
      <c r="C176" s="484"/>
      <c r="D176" s="484"/>
      <c r="E176" s="484"/>
      <c r="F176" s="482">
        <v>0</v>
      </c>
      <c r="G176" s="482"/>
      <c r="H176" s="482">
        <v>0</v>
      </c>
      <c r="I176" s="482"/>
      <c r="J176" s="482"/>
      <c r="K176" s="482">
        <v>0</v>
      </c>
      <c r="L176" s="482"/>
      <c r="M176" s="482"/>
      <c r="N176" s="482">
        <v>0</v>
      </c>
      <c r="O176" s="482"/>
    </row>
    <row r="177" spans="1:15" ht="18" customHeight="1" x14ac:dyDescent="0.3">
      <c r="A177" s="484" t="s">
        <v>811</v>
      </c>
      <c r="B177" s="484"/>
      <c r="C177" s="484"/>
      <c r="D177" s="484"/>
      <c r="E177" s="484"/>
      <c r="F177" s="482">
        <v>0</v>
      </c>
      <c r="G177" s="482"/>
      <c r="H177" s="482">
        <v>0</v>
      </c>
      <c r="I177" s="482"/>
      <c r="J177" s="482"/>
      <c r="K177" s="482">
        <v>0</v>
      </c>
      <c r="L177" s="482"/>
      <c r="M177" s="482"/>
      <c r="N177" s="482">
        <v>0</v>
      </c>
      <c r="O177" s="482"/>
    </row>
    <row r="178" spans="1:15" ht="18" customHeight="1" x14ac:dyDescent="0.3">
      <c r="A178" s="484" t="s">
        <v>812</v>
      </c>
      <c r="B178" s="484"/>
      <c r="C178" s="484"/>
      <c r="D178" s="484"/>
      <c r="E178" s="484"/>
      <c r="F178" s="482">
        <v>0</v>
      </c>
      <c r="G178" s="482"/>
      <c r="H178" s="482">
        <v>0</v>
      </c>
      <c r="I178" s="482"/>
      <c r="J178" s="482"/>
      <c r="K178" s="482">
        <v>0</v>
      </c>
      <c r="L178" s="482"/>
      <c r="M178" s="482"/>
      <c r="N178" s="482">
        <v>0</v>
      </c>
      <c r="O178" s="482"/>
    </row>
    <row r="179" spans="1:15" ht="18" customHeight="1" x14ac:dyDescent="0.3">
      <c r="A179" s="484" t="s">
        <v>813</v>
      </c>
      <c r="B179" s="484"/>
      <c r="C179" s="484"/>
      <c r="D179" s="484"/>
      <c r="E179" s="484"/>
      <c r="F179" s="482">
        <v>0</v>
      </c>
      <c r="G179" s="482"/>
      <c r="H179" s="482">
        <v>0</v>
      </c>
      <c r="I179" s="482"/>
      <c r="J179" s="482"/>
      <c r="K179" s="482">
        <v>0</v>
      </c>
      <c r="L179" s="482"/>
      <c r="M179" s="482"/>
      <c r="N179" s="482">
        <v>0</v>
      </c>
      <c r="O179" s="482"/>
    </row>
    <row r="180" spans="1:15" ht="18" customHeight="1" x14ac:dyDescent="0.3">
      <c r="A180" s="484" t="s">
        <v>814</v>
      </c>
      <c r="B180" s="484"/>
      <c r="C180" s="484"/>
      <c r="D180" s="484"/>
      <c r="E180" s="484"/>
      <c r="F180" s="482">
        <v>0</v>
      </c>
      <c r="G180" s="482"/>
      <c r="H180" s="482">
        <v>0</v>
      </c>
      <c r="I180" s="482"/>
      <c r="J180" s="482"/>
      <c r="K180" s="482">
        <v>0</v>
      </c>
      <c r="L180" s="482"/>
      <c r="M180" s="482"/>
      <c r="N180" s="482">
        <v>0</v>
      </c>
      <c r="O180" s="482"/>
    </row>
    <row r="181" spans="1:15" ht="18" customHeight="1" x14ac:dyDescent="0.3">
      <c r="A181" s="479" t="s">
        <v>815</v>
      </c>
      <c r="B181" s="479"/>
      <c r="C181" s="479"/>
      <c r="D181" s="479"/>
      <c r="E181" s="479"/>
      <c r="F181" s="476">
        <v>0</v>
      </c>
      <c r="G181" s="476"/>
      <c r="H181" s="476">
        <v>0</v>
      </c>
      <c r="I181" s="476"/>
      <c r="J181" s="476"/>
      <c r="K181" s="476">
        <v>0</v>
      </c>
      <c r="L181" s="476"/>
      <c r="M181" s="476"/>
      <c r="N181" s="476">
        <v>0</v>
      </c>
      <c r="O181" s="476"/>
    </row>
    <row r="182" spans="1:15" ht="18" customHeight="1" x14ac:dyDescent="0.3">
      <c r="A182" s="484" t="s">
        <v>816</v>
      </c>
      <c r="B182" s="484"/>
      <c r="C182" s="484"/>
      <c r="D182" s="484"/>
      <c r="E182" s="484"/>
      <c r="F182" s="482">
        <v>0</v>
      </c>
      <c r="G182" s="482"/>
      <c r="H182" s="482">
        <v>0</v>
      </c>
      <c r="I182" s="482"/>
      <c r="J182" s="482"/>
      <c r="K182" s="482">
        <v>0</v>
      </c>
      <c r="L182" s="482"/>
      <c r="M182" s="482"/>
      <c r="N182" s="482">
        <v>0</v>
      </c>
      <c r="O182" s="482"/>
    </row>
    <row r="183" spans="1:15" ht="18" customHeight="1" x14ac:dyDescent="0.3">
      <c r="A183" s="484" t="s">
        <v>817</v>
      </c>
      <c r="B183" s="484"/>
      <c r="C183" s="484"/>
      <c r="D183" s="484"/>
      <c r="E183" s="484"/>
      <c r="F183" s="482">
        <v>0</v>
      </c>
      <c r="G183" s="482"/>
      <c r="H183" s="482">
        <v>0</v>
      </c>
      <c r="I183" s="482"/>
      <c r="J183" s="482"/>
      <c r="K183" s="482">
        <v>0</v>
      </c>
      <c r="L183" s="482"/>
      <c r="M183" s="482"/>
      <c r="N183" s="482">
        <v>0</v>
      </c>
      <c r="O183" s="482"/>
    </row>
    <row r="184" spans="1:15" ht="18" customHeight="1" x14ac:dyDescent="0.3">
      <c r="A184" s="484" t="s">
        <v>818</v>
      </c>
      <c r="B184" s="484"/>
      <c r="C184" s="484"/>
      <c r="D184" s="484"/>
      <c r="E184" s="484"/>
      <c r="F184" s="482">
        <v>0</v>
      </c>
      <c r="G184" s="482"/>
      <c r="H184" s="482">
        <v>0</v>
      </c>
      <c r="I184" s="482"/>
      <c r="J184" s="482"/>
      <c r="K184" s="482">
        <v>0</v>
      </c>
      <c r="L184" s="482"/>
      <c r="M184" s="482"/>
      <c r="N184" s="482">
        <v>0</v>
      </c>
      <c r="O184" s="482"/>
    </row>
    <row r="185" spans="1:15" ht="18" customHeight="1" x14ac:dyDescent="0.3">
      <c r="A185" s="479" t="s">
        <v>819</v>
      </c>
      <c r="B185" s="479"/>
      <c r="C185" s="479"/>
      <c r="D185" s="479"/>
      <c r="E185" s="479"/>
      <c r="F185" s="476">
        <v>0</v>
      </c>
      <c r="G185" s="476"/>
      <c r="H185" s="476">
        <v>0</v>
      </c>
      <c r="I185" s="476"/>
      <c r="J185" s="476"/>
      <c r="K185" s="476">
        <v>0</v>
      </c>
      <c r="L185" s="476"/>
      <c r="M185" s="476"/>
      <c r="N185" s="476">
        <v>0</v>
      </c>
      <c r="O185" s="476"/>
    </row>
    <row r="186" spans="1:15" ht="18" customHeight="1" x14ac:dyDescent="0.3">
      <c r="A186" s="484" t="s">
        <v>820</v>
      </c>
      <c r="B186" s="484"/>
      <c r="C186" s="484"/>
      <c r="D186" s="484"/>
      <c r="E186" s="484"/>
      <c r="F186" s="482">
        <v>0</v>
      </c>
      <c r="G186" s="482"/>
      <c r="H186" s="482">
        <v>0</v>
      </c>
      <c r="I186" s="482"/>
      <c r="J186" s="482"/>
      <c r="K186" s="482">
        <v>0</v>
      </c>
      <c r="L186" s="482"/>
      <c r="M186" s="482"/>
      <c r="N186" s="482">
        <v>0</v>
      </c>
      <c r="O186" s="482"/>
    </row>
    <row r="187" spans="1:15" ht="18" customHeight="1" x14ac:dyDescent="0.3">
      <c r="A187" s="484" t="s">
        <v>821</v>
      </c>
      <c r="B187" s="484"/>
      <c r="C187" s="484"/>
      <c r="D187" s="484"/>
      <c r="E187" s="484"/>
      <c r="F187" s="482">
        <v>0</v>
      </c>
      <c r="G187" s="482"/>
      <c r="H187" s="482">
        <v>0</v>
      </c>
      <c r="I187" s="482"/>
      <c r="J187" s="482"/>
      <c r="K187" s="482">
        <v>0</v>
      </c>
      <c r="L187" s="482"/>
      <c r="M187" s="482"/>
      <c r="N187" s="482">
        <v>0</v>
      </c>
      <c r="O187" s="482"/>
    </row>
    <row r="188" spans="1:15" ht="18" customHeight="1" x14ac:dyDescent="0.3">
      <c r="A188" s="478" t="s">
        <v>822</v>
      </c>
      <c r="B188" s="478"/>
      <c r="C188" s="478"/>
      <c r="D188" s="478"/>
      <c r="E188" s="478"/>
      <c r="F188" s="476">
        <v>0</v>
      </c>
      <c r="G188" s="476"/>
      <c r="H188" s="476">
        <v>0</v>
      </c>
      <c r="I188" s="476"/>
      <c r="J188" s="476"/>
      <c r="K188" s="476">
        <v>0</v>
      </c>
      <c r="L188" s="476"/>
      <c r="M188" s="476"/>
      <c r="N188" s="476">
        <v>0</v>
      </c>
      <c r="O188" s="476"/>
    </row>
    <row r="189" spans="1:15" ht="22.5" customHeight="1" x14ac:dyDescent="0.3">
      <c r="A189" s="483" t="s">
        <v>823</v>
      </c>
      <c r="B189" s="483"/>
      <c r="C189" s="483"/>
      <c r="D189" s="483"/>
      <c r="E189" s="483"/>
      <c r="F189" s="482">
        <v>0</v>
      </c>
      <c r="G189" s="482"/>
      <c r="H189" s="482">
        <v>0</v>
      </c>
      <c r="I189" s="482"/>
      <c r="J189" s="482"/>
      <c r="K189" s="482">
        <v>0</v>
      </c>
      <c r="L189" s="482"/>
      <c r="M189" s="482"/>
      <c r="N189" s="482">
        <v>0</v>
      </c>
      <c r="O189" s="482"/>
    </row>
    <row r="190" spans="1:15" ht="19.5" customHeight="1" x14ac:dyDescent="0.3">
      <c r="A190" s="479" t="s">
        <v>824</v>
      </c>
      <c r="B190" s="479"/>
      <c r="C190" s="479"/>
      <c r="D190" s="479"/>
      <c r="E190" s="479"/>
      <c r="F190" s="476">
        <v>0</v>
      </c>
      <c r="G190" s="476"/>
      <c r="H190" s="476">
        <v>0</v>
      </c>
      <c r="I190" s="476"/>
      <c r="J190" s="476"/>
      <c r="K190" s="476">
        <v>0</v>
      </c>
      <c r="L190" s="476"/>
      <c r="M190" s="476"/>
      <c r="N190" s="476">
        <v>0</v>
      </c>
      <c r="O190" s="476"/>
    </row>
    <row r="191" spans="1:15" ht="18" customHeight="1" x14ac:dyDescent="0.3">
      <c r="A191" s="484" t="s">
        <v>825</v>
      </c>
      <c r="B191" s="484"/>
      <c r="C191" s="484"/>
      <c r="D191" s="484"/>
      <c r="E191" s="484"/>
      <c r="F191" s="482">
        <v>0</v>
      </c>
      <c r="G191" s="482"/>
      <c r="H191" s="482">
        <v>0</v>
      </c>
      <c r="I191" s="482"/>
      <c r="J191" s="482"/>
      <c r="K191" s="482">
        <v>0</v>
      </c>
      <c r="L191" s="482"/>
      <c r="M191" s="482"/>
      <c r="N191" s="482">
        <v>0</v>
      </c>
      <c r="O191" s="482"/>
    </row>
    <row r="192" spans="1:15" ht="21.75" customHeight="1" x14ac:dyDescent="0.3">
      <c r="A192" s="484" t="s">
        <v>803</v>
      </c>
      <c r="B192" s="484"/>
      <c r="C192" s="484"/>
      <c r="D192" s="484"/>
      <c r="E192" s="484"/>
      <c r="F192" s="482">
        <v>0</v>
      </c>
      <c r="G192" s="482"/>
      <c r="H192" s="482">
        <v>0</v>
      </c>
      <c r="I192" s="482"/>
      <c r="J192" s="482"/>
      <c r="K192" s="482">
        <v>0</v>
      </c>
      <c r="L192" s="482"/>
      <c r="M192" s="482"/>
      <c r="N192" s="482">
        <v>0</v>
      </c>
      <c r="O192" s="482"/>
    </row>
    <row r="193" spans="1:15" ht="18" customHeight="1" x14ac:dyDescent="0.3">
      <c r="A193" s="478" t="s">
        <v>826</v>
      </c>
      <c r="B193" s="478"/>
      <c r="C193" s="478"/>
      <c r="D193" s="478"/>
      <c r="E193" s="478"/>
      <c r="F193" s="476">
        <v>0</v>
      </c>
      <c r="G193" s="476"/>
      <c r="H193" s="476">
        <v>0</v>
      </c>
      <c r="I193" s="476"/>
      <c r="J193" s="476"/>
      <c r="K193" s="476">
        <v>0</v>
      </c>
      <c r="L193" s="476"/>
      <c r="M193" s="476"/>
      <c r="N193" s="476">
        <v>0</v>
      </c>
      <c r="O193" s="476"/>
    </row>
    <row r="194" spans="1:15" ht="18" customHeight="1" x14ac:dyDescent="0.3">
      <c r="A194" s="479" t="s">
        <v>827</v>
      </c>
      <c r="B194" s="479"/>
      <c r="C194" s="479"/>
      <c r="D194" s="479"/>
      <c r="E194" s="479"/>
      <c r="F194" s="476">
        <v>0</v>
      </c>
      <c r="G194" s="476"/>
      <c r="H194" s="476">
        <v>0</v>
      </c>
      <c r="I194" s="476"/>
      <c r="J194" s="476"/>
      <c r="K194" s="476">
        <v>0</v>
      </c>
      <c r="L194" s="476"/>
      <c r="M194" s="476"/>
      <c r="N194" s="476">
        <v>0</v>
      </c>
      <c r="O194" s="476"/>
    </row>
    <row r="195" spans="1:15" ht="18" customHeight="1" x14ac:dyDescent="0.3">
      <c r="A195" s="484" t="s">
        <v>828</v>
      </c>
      <c r="B195" s="484"/>
      <c r="C195" s="484"/>
      <c r="D195" s="484"/>
      <c r="E195" s="484"/>
      <c r="F195" s="482">
        <v>0</v>
      </c>
      <c r="G195" s="482"/>
      <c r="H195" s="482">
        <v>0</v>
      </c>
      <c r="I195" s="482"/>
      <c r="J195" s="482"/>
      <c r="K195" s="482">
        <v>0</v>
      </c>
      <c r="L195" s="482"/>
      <c r="M195" s="482"/>
      <c r="N195" s="482">
        <v>0</v>
      </c>
      <c r="O195" s="482"/>
    </row>
    <row r="196" spans="1:15" ht="18" customHeight="1" x14ac:dyDescent="0.3">
      <c r="A196" s="478" t="s">
        <v>829</v>
      </c>
      <c r="B196" s="478"/>
      <c r="C196" s="478"/>
      <c r="D196" s="478"/>
      <c r="E196" s="478"/>
      <c r="F196" s="476">
        <v>5590000</v>
      </c>
      <c r="G196" s="476"/>
      <c r="H196" s="476">
        <v>0</v>
      </c>
      <c r="I196" s="476"/>
      <c r="J196" s="476"/>
      <c r="K196" s="476">
        <v>0</v>
      </c>
      <c r="L196" s="476"/>
      <c r="M196" s="476"/>
      <c r="N196" s="476">
        <v>5590000</v>
      </c>
      <c r="O196" s="476"/>
    </row>
    <row r="197" spans="1:15" ht="18" customHeight="1" x14ac:dyDescent="0.3">
      <c r="A197" s="479" t="s">
        <v>830</v>
      </c>
      <c r="B197" s="479"/>
      <c r="C197" s="479"/>
      <c r="D197" s="479"/>
      <c r="E197" s="479"/>
      <c r="F197" s="476">
        <v>5590000</v>
      </c>
      <c r="G197" s="476"/>
      <c r="H197" s="476">
        <v>0</v>
      </c>
      <c r="I197" s="476"/>
      <c r="J197" s="476"/>
      <c r="K197" s="476">
        <v>0</v>
      </c>
      <c r="L197" s="476"/>
      <c r="M197" s="476"/>
      <c r="N197" s="476">
        <v>5590000</v>
      </c>
      <c r="O197" s="476"/>
    </row>
    <row r="198" spans="1:15" ht="22.5" customHeight="1" x14ac:dyDescent="0.3">
      <c r="A198" s="484" t="s">
        <v>831</v>
      </c>
      <c r="B198" s="484"/>
      <c r="C198" s="484"/>
      <c r="D198" s="484"/>
      <c r="E198" s="484"/>
      <c r="F198" s="482">
        <v>5590000</v>
      </c>
      <c r="G198" s="482"/>
      <c r="H198" s="482">
        <v>0</v>
      </c>
      <c r="I198" s="482"/>
      <c r="J198" s="482"/>
      <c r="K198" s="482">
        <v>0</v>
      </c>
      <c r="L198" s="482"/>
      <c r="M198" s="482"/>
      <c r="N198" s="482">
        <v>5590000</v>
      </c>
      <c r="O198" s="482"/>
    </row>
    <row r="199" spans="1:15" ht="18" customHeight="1" x14ac:dyDescent="0.3">
      <c r="A199" s="477" t="s">
        <v>796</v>
      </c>
      <c r="B199" s="477"/>
      <c r="C199" s="477"/>
      <c r="D199" s="477"/>
      <c r="E199" s="477"/>
      <c r="F199" s="476">
        <v>0</v>
      </c>
      <c r="G199" s="476"/>
      <c r="H199" s="476">
        <v>0</v>
      </c>
      <c r="I199" s="476"/>
      <c r="J199" s="476"/>
      <c r="K199" s="476">
        <v>0</v>
      </c>
      <c r="L199" s="476"/>
      <c r="M199" s="476"/>
      <c r="N199" s="476">
        <v>0</v>
      </c>
      <c r="O199" s="476"/>
    </row>
    <row r="200" spans="1:15" ht="54" customHeight="1" x14ac:dyDescent="0.3">
      <c r="A200" s="487" t="s">
        <v>832</v>
      </c>
      <c r="B200" s="487"/>
      <c r="C200" s="487"/>
      <c r="D200" s="487"/>
      <c r="E200" s="488">
        <v>11313862.57</v>
      </c>
      <c r="F200" s="488"/>
      <c r="G200" s="488">
        <v>3217361.11</v>
      </c>
      <c r="H200" s="488"/>
      <c r="I200" s="488">
        <v>3217361.11</v>
      </c>
      <c r="J200" s="488"/>
      <c r="K200" s="488"/>
      <c r="L200" s="488"/>
      <c r="M200" s="488">
        <v>8096501.46</v>
      </c>
      <c r="N200" s="488"/>
      <c r="O200" s="488"/>
    </row>
    <row r="201" spans="1:15" ht="11.25" customHeight="1" x14ac:dyDescent="0.3">
      <c r="C201" s="489"/>
      <c r="D201" s="489"/>
      <c r="E201" s="489"/>
      <c r="F201" s="489"/>
      <c r="G201" s="489"/>
      <c r="H201" s="489"/>
      <c r="I201" s="489"/>
      <c r="J201" s="489"/>
      <c r="K201" s="489"/>
      <c r="L201" s="489"/>
      <c r="M201" s="489"/>
      <c r="N201" s="489"/>
    </row>
    <row r="202" spans="1:15" ht="54" customHeight="1" x14ac:dyDescent="0.3"/>
    <row r="203" spans="1:15" ht="11.25" customHeight="1" x14ac:dyDescent="0.3">
      <c r="A203" s="291" t="s">
        <v>833</v>
      </c>
      <c r="B203" s="291"/>
      <c r="C203" s="291"/>
      <c r="D203" s="291"/>
      <c r="E203" s="291"/>
      <c r="F203" s="291"/>
      <c r="G203" s="291"/>
      <c r="H203" s="291"/>
      <c r="I203" s="291"/>
      <c r="J203" s="291"/>
      <c r="K203" s="291"/>
      <c r="L203" s="291"/>
      <c r="M203" s="485" t="s">
        <v>643</v>
      </c>
      <c r="N203" s="485"/>
      <c r="O203" s="485"/>
    </row>
    <row r="204" spans="1:15" ht="1.5" customHeight="1" x14ac:dyDescent="0.3">
      <c r="D204" s="486" t="s">
        <v>834</v>
      </c>
      <c r="E204" s="486"/>
      <c r="F204" s="486"/>
      <c r="G204" s="486"/>
      <c r="H204" s="486"/>
      <c r="I204" s="486"/>
      <c r="J204" s="486"/>
      <c r="K204" s="486"/>
      <c r="M204" s="485"/>
      <c r="N204" s="485"/>
      <c r="O204" s="485"/>
    </row>
    <row r="205" spans="1:15" ht="11.25" customHeight="1" x14ac:dyDescent="0.3">
      <c r="D205" s="486"/>
      <c r="E205" s="486"/>
      <c r="F205" s="486"/>
      <c r="G205" s="486"/>
      <c r="H205" s="486"/>
      <c r="I205" s="486"/>
      <c r="J205" s="486"/>
      <c r="K205" s="486"/>
    </row>
  </sheetData>
  <mergeCells count="964">
    <mergeCell ref="A197:E197"/>
    <mergeCell ref="F197:G197"/>
    <mergeCell ref="H197:J197"/>
    <mergeCell ref="K197:M197"/>
    <mergeCell ref="N197:O197"/>
    <mergeCell ref="M203:O204"/>
    <mergeCell ref="D204:K205"/>
    <mergeCell ref="A200:D200"/>
    <mergeCell ref="E200:F200"/>
    <mergeCell ref="G200:H200"/>
    <mergeCell ref="I200:L200"/>
    <mergeCell ref="M200:O200"/>
    <mergeCell ref="C201:N201"/>
    <mergeCell ref="A198:E198"/>
    <mergeCell ref="F198:G198"/>
    <mergeCell ref="H198:J198"/>
    <mergeCell ref="K198:M198"/>
    <mergeCell ref="N198:O198"/>
    <mergeCell ref="A199:E199"/>
    <mergeCell ref="F199:G199"/>
    <mergeCell ref="H199:J199"/>
    <mergeCell ref="K199:M199"/>
    <mergeCell ref="N199:O199"/>
    <mergeCell ref="A195:E195"/>
    <mergeCell ref="F195:G195"/>
    <mergeCell ref="H195:J195"/>
    <mergeCell ref="K195:M195"/>
    <mergeCell ref="N195:O195"/>
    <mergeCell ref="A196:E196"/>
    <mergeCell ref="F196:G196"/>
    <mergeCell ref="H196:J196"/>
    <mergeCell ref="K196:M196"/>
    <mergeCell ref="N196:O196"/>
    <mergeCell ref="A193:E193"/>
    <mergeCell ref="F193:G193"/>
    <mergeCell ref="H193:J193"/>
    <mergeCell ref="K193:M193"/>
    <mergeCell ref="N193:O193"/>
    <mergeCell ref="A194:E194"/>
    <mergeCell ref="F194:G194"/>
    <mergeCell ref="H194:J194"/>
    <mergeCell ref="K194:M194"/>
    <mergeCell ref="N194:O194"/>
    <mergeCell ref="A191:E191"/>
    <mergeCell ref="F191:G191"/>
    <mergeCell ref="H191:J191"/>
    <mergeCell ref="K191:M191"/>
    <mergeCell ref="N191:O191"/>
    <mergeCell ref="A192:E192"/>
    <mergeCell ref="F192:G192"/>
    <mergeCell ref="H192:J192"/>
    <mergeCell ref="K192:M192"/>
    <mergeCell ref="N192:O192"/>
    <mergeCell ref="A189:E189"/>
    <mergeCell ref="F189:G189"/>
    <mergeCell ref="H189:J189"/>
    <mergeCell ref="K189:M189"/>
    <mergeCell ref="N189:O189"/>
    <mergeCell ref="A190:E190"/>
    <mergeCell ref="F190:G190"/>
    <mergeCell ref="H190:J190"/>
    <mergeCell ref="K190:M190"/>
    <mergeCell ref="N190:O190"/>
    <mergeCell ref="A187:E187"/>
    <mergeCell ref="F187:G187"/>
    <mergeCell ref="H187:J187"/>
    <mergeCell ref="K187:M187"/>
    <mergeCell ref="N187:O187"/>
    <mergeCell ref="A188:E188"/>
    <mergeCell ref="F188:G188"/>
    <mergeCell ref="H188:J188"/>
    <mergeCell ref="K188:M188"/>
    <mergeCell ref="N188:O188"/>
    <mergeCell ref="A185:E185"/>
    <mergeCell ref="F185:G185"/>
    <mergeCell ref="H185:J185"/>
    <mergeCell ref="K185:M185"/>
    <mergeCell ref="N185:O185"/>
    <mergeCell ref="A186:E186"/>
    <mergeCell ref="F186:G186"/>
    <mergeCell ref="H186:J186"/>
    <mergeCell ref="K186:M186"/>
    <mergeCell ref="N186:O186"/>
    <mergeCell ref="A183:E183"/>
    <mergeCell ref="F183:G183"/>
    <mergeCell ref="H183:J183"/>
    <mergeCell ref="K183:M183"/>
    <mergeCell ref="N183:O183"/>
    <mergeCell ref="A184:E184"/>
    <mergeCell ref="F184:G184"/>
    <mergeCell ref="H184:J184"/>
    <mergeCell ref="K184:M184"/>
    <mergeCell ref="N184:O184"/>
    <mergeCell ref="A181:E181"/>
    <mergeCell ref="F181:G181"/>
    <mergeCell ref="H181:J181"/>
    <mergeCell ref="K181:M181"/>
    <mergeCell ref="N181:O181"/>
    <mergeCell ref="A182:E182"/>
    <mergeCell ref="F182:G182"/>
    <mergeCell ref="H182:J182"/>
    <mergeCell ref="K182:M182"/>
    <mergeCell ref="N182:O182"/>
    <mergeCell ref="A179:E179"/>
    <mergeCell ref="F179:G179"/>
    <mergeCell ref="H179:J179"/>
    <mergeCell ref="K179:M179"/>
    <mergeCell ref="N179:O179"/>
    <mergeCell ref="A180:E180"/>
    <mergeCell ref="F180:G180"/>
    <mergeCell ref="H180:J180"/>
    <mergeCell ref="K180:M180"/>
    <mergeCell ref="N180:O180"/>
    <mergeCell ref="A177:E177"/>
    <mergeCell ref="F177:G177"/>
    <mergeCell ref="H177:J177"/>
    <mergeCell ref="K177:M177"/>
    <mergeCell ref="N177:O177"/>
    <mergeCell ref="A178:E178"/>
    <mergeCell ref="F178:G178"/>
    <mergeCell ref="H178:J178"/>
    <mergeCell ref="K178:M178"/>
    <mergeCell ref="N178:O178"/>
    <mergeCell ref="A175:E175"/>
    <mergeCell ref="F175:G175"/>
    <mergeCell ref="H175:J175"/>
    <mergeCell ref="K175:M175"/>
    <mergeCell ref="N175:O175"/>
    <mergeCell ref="A176:E176"/>
    <mergeCell ref="F176:G176"/>
    <mergeCell ref="H176:J176"/>
    <mergeCell ref="K176:M176"/>
    <mergeCell ref="N176:O176"/>
    <mergeCell ref="A173:E173"/>
    <mergeCell ref="F173:G173"/>
    <mergeCell ref="H173:J173"/>
    <mergeCell ref="K173:M173"/>
    <mergeCell ref="N173:O173"/>
    <mergeCell ref="A174:E174"/>
    <mergeCell ref="F174:G174"/>
    <mergeCell ref="H174:J174"/>
    <mergeCell ref="K174:M174"/>
    <mergeCell ref="N174:O174"/>
    <mergeCell ref="A171:E171"/>
    <mergeCell ref="F171:G171"/>
    <mergeCell ref="H171:J171"/>
    <mergeCell ref="K171:M171"/>
    <mergeCell ref="N171:O171"/>
    <mergeCell ref="A172:E172"/>
    <mergeCell ref="F172:G172"/>
    <mergeCell ref="H172:J172"/>
    <mergeCell ref="K172:M172"/>
    <mergeCell ref="N172:O172"/>
    <mergeCell ref="A169:E169"/>
    <mergeCell ref="F169:G169"/>
    <mergeCell ref="H169:J169"/>
    <mergeCell ref="K169:M169"/>
    <mergeCell ref="N169:O169"/>
    <mergeCell ref="A170:E170"/>
    <mergeCell ref="F170:G170"/>
    <mergeCell ref="H170:J170"/>
    <mergeCell ref="K170:M170"/>
    <mergeCell ref="N170:O170"/>
    <mergeCell ref="A167:E167"/>
    <mergeCell ref="F167:G167"/>
    <mergeCell ref="H167:J167"/>
    <mergeCell ref="K167:M167"/>
    <mergeCell ref="N167:O167"/>
    <mergeCell ref="A168:E168"/>
    <mergeCell ref="F168:G168"/>
    <mergeCell ref="H168:J168"/>
    <mergeCell ref="K168:M168"/>
    <mergeCell ref="N168:O168"/>
    <mergeCell ref="A165:E165"/>
    <mergeCell ref="F165:G165"/>
    <mergeCell ref="H165:J165"/>
    <mergeCell ref="K165:M165"/>
    <mergeCell ref="N165:O165"/>
    <mergeCell ref="A166:E166"/>
    <mergeCell ref="F166:G166"/>
    <mergeCell ref="H166:J166"/>
    <mergeCell ref="K166:M166"/>
    <mergeCell ref="N166:O166"/>
    <mergeCell ref="A163:E163"/>
    <mergeCell ref="F163:G163"/>
    <mergeCell ref="H163:J163"/>
    <mergeCell ref="K163:M163"/>
    <mergeCell ref="N163:O163"/>
    <mergeCell ref="A164:E164"/>
    <mergeCell ref="F164:G164"/>
    <mergeCell ref="H164:J164"/>
    <mergeCell ref="K164:M164"/>
    <mergeCell ref="N164:O164"/>
    <mergeCell ref="A161:E161"/>
    <mergeCell ref="F161:G161"/>
    <mergeCell ref="H161:J161"/>
    <mergeCell ref="K161:M161"/>
    <mergeCell ref="N161:O161"/>
    <mergeCell ref="A162:E162"/>
    <mergeCell ref="F162:G162"/>
    <mergeCell ref="H162:J162"/>
    <mergeCell ref="K162:M162"/>
    <mergeCell ref="N162:O162"/>
    <mergeCell ref="A159:E159"/>
    <mergeCell ref="F159:G159"/>
    <mergeCell ref="H159:J159"/>
    <mergeCell ref="K159:M159"/>
    <mergeCell ref="N159:O159"/>
    <mergeCell ref="A160:E160"/>
    <mergeCell ref="F160:G160"/>
    <mergeCell ref="H160:J160"/>
    <mergeCell ref="K160:M160"/>
    <mergeCell ref="N160:O160"/>
    <mergeCell ref="A157:E157"/>
    <mergeCell ref="F157:G157"/>
    <mergeCell ref="H157:J157"/>
    <mergeCell ref="K157:M157"/>
    <mergeCell ref="N157:O157"/>
    <mergeCell ref="A158:E158"/>
    <mergeCell ref="F158:G158"/>
    <mergeCell ref="H158:J158"/>
    <mergeCell ref="K158:M158"/>
    <mergeCell ref="N158:O158"/>
    <mergeCell ref="A155:E155"/>
    <mergeCell ref="F155:G155"/>
    <mergeCell ref="H155:J155"/>
    <mergeCell ref="K155:M155"/>
    <mergeCell ref="N155:O155"/>
    <mergeCell ref="A156:E156"/>
    <mergeCell ref="F156:G156"/>
    <mergeCell ref="H156:J156"/>
    <mergeCell ref="K156:M156"/>
    <mergeCell ref="N156:O156"/>
    <mergeCell ref="A153:E153"/>
    <mergeCell ref="F153:G153"/>
    <mergeCell ref="H153:J153"/>
    <mergeCell ref="K153:M153"/>
    <mergeCell ref="N153:O153"/>
    <mergeCell ref="A154:E154"/>
    <mergeCell ref="F154:G154"/>
    <mergeCell ref="H154:J154"/>
    <mergeCell ref="K154:M154"/>
    <mergeCell ref="N154:O154"/>
    <mergeCell ref="A151:E151"/>
    <mergeCell ref="F151:G151"/>
    <mergeCell ref="H151:J151"/>
    <mergeCell ref="K151:M151"/>
    <mergeCell ref="N151:O151"/>
    <mergeCell ref="A152:E152"/>
    <mergeCell ref="F152:G152"/>
    <mergeCell ref="H152:J152"/>
    <mergeCell ref="K152:M152"/>
    <mergeCell ref="N152:O152"/>
    <mergeCell ref="A149:E149"/>
    <mergeCell ref="F149:G149"/>
    <mergeCell ref="H149:J149"/>
    <mergeCell ref="K149:M149"/>
    <mergeCell ref="N149:O149"/>
    <mergeCell ref="A150:E150"/>
    <mergeCell ref="F150:G150"/>
    <mergeCell ref="H150:J150"/>
    <mergeCell ref="K150:M150"/>
    <mergeCell ref="N150:O150"/>
    <mergeCell ref="A147:E147"/>
    <mergeCell ref="F147:G147"/>
    <mergeCell ref="H147:J147"/>
    <mergeCell ref="K147:M147"/>
    <mergeCell ref="N147:O147"/>
    <mergeCell ref="A148:E148"/>
    <mergeCell ref="F148:G148"/>
    <mergeCell ref="H148:J148"/>
    <mergeCell ref="K148:M148"/>
    <mergeCell ref="N148:O148"/>
    <mergeCell ref="A145:E145"/>
    <mergeCell ref="F145:G145"/>
    <mergeCell ref="H145:J145"/>
    <mergeCell ref="K145:M145"/>
    <mergeCell ref="N145:O145"/>
    <mergeCell ref="A146:E146"/>
    <mergeCell ref="F146:G146"/>
    <mergeCell ref="H146:J146"/>
    <mergeCell ref="K146:M146"/>
    <mergeCell ref="N146:O146"/>
    <mergeCell ref="A143:E143"/>
    <mergeCell ref="F143:G143"/>
    <mergeCell ref="H143:J143"/>
    <mergeCell ref="K143:M143"/>
    <mergeCell ref="N143:O143"/>
    <mergeCell ref="A144:E144"/>
    <mergeCell ref="F144:G144"/>
    <mergeCell ref="H144:J144"/>
    <mergeCell ref="K144:M144"/>
    <mergeCell ref="N144:O144"/>
    <mergeCell ref="A141:E141"/>
    <mergeCell ref="F141:G141"/>
    <mergeCell ref="H141:J141"/>
    <mergeCell ref="K141:M141"/>
    <mergeCell ref="N141:O141"/>
    <mergeCell ref="A142:E142"/>
    <mergeCell ref="F142:G142"/>
    <mergeCell ref="H142:J142"/>
    <mergeCell ref="K142:M142"/>
    <mergeCell ref="N142:O142"/>
    <mergeCell ref="A139:E139"/>
    <mergeCell ref="F139:G139"/>
    <mergeCell ref="H139:J139"/>
    <mergeCell ref="K139:M139"/>
    <mergeCell ref="N139:O139"/>
    <mergeCell ref="A140:E140"/>
    <mergeCell ref="F140:G140"/>
    <mergeCell ref="H140:J140"/>
    <mergeCell ref="K140:M140"/>
    <mergeCell ref="N140:O140"/>
    <mergeCell ref="A137:E137"/>
    <mergeCell ref="F137:G137"/>
    <mergeCell ref="H137:J137"/>
    <mergeCell ref="K137:M137"/>
    <mergeCell ref="N137:O137"/>
    <mergeCell ref="A138:E138"/>
    <mergeCell ref="F138:G138"/>
    <mergeCell ref="H138:J138"/>
    <mergeCell ref="K138:M138"/>
    <mergeCell ref="N138:O138"/>
    <mergeCell ref="A135:E135"/>
    <mergeCell ref="F135:G135"/>
    <mergeCell ref="H135:J135"/>
    <mergeCell ref="K135:M135"/>
    <mergeCell ref="N135:O135"/>
    <mergeCell ref="A136:E136"/>
    <mergeCell ref="F136:G136"/>
    <mergeCell ref="H136:J136"/>
    <mergeCell ref="K136:M136"/>
    <mergeCell ref="N136:O136"/>
    <mergeCell ref="A133:E133"/>
    <mergeCell ref="F133:G133"/>
    <mergeCell ref="H133:J133"/>
    <mergeCell ref="K133:M133"/>
    <mergeCell ref="N133:O133"/>
    <mergeCell ref="A134:E134"/>
    <mergeCell ref="F134:G134"/>
    <mergeCell ref="H134:J134"/>
    <mergeCell ref="K134:M134"/>
    <mergeCell ref="N134:O134"/>
    <mergeCell ref="A131:E131"/>
    <mergeCell ref="F131:G131"/>
    <mergeCell ref="H131:J131"/>
    <mergeCell ref="K131:M131"/>
    <mergeCell ref="N131:O131"/>
    <mergeCell ref="A132:E132"/>
    <mergeCell ref="F132:G132"/>
    <mergeCell ref="H132:J132"/>
    <mergeCell ref="K132:M132"/>
    <mergeCell ref="N132:O132"/>
    <mergeCell ref="A129:E129"/>
    <mergeCell ref="F129:G129"/>
    <mergeCell ref="H129:J129"/>
    <mergeCell ref="K129:M129"/>
    <mergeCell ref="N129:O129"/>
    <mergeCell ref="A130:E130"/>
    <mergeCell ref="F130:G130"/>
    <mergeCell ref="H130:J130"/>
    <mergeCell ref="K130:M130"/>
    <mergeCell ref="N130:O130"/>
    <mergeCell ref="A127:E127"/>
    <mergeCell ref="F127:G127"/>
    <mergeCell ref="H127:J127"/>
    <mergeCell ref="K127:M127"/>
    <mergeCell ref="N127:O127"/>
    <mergeCell ref="A128:E128"/>
    <mergeCell ref="F128:G128"/>
    <mergeCell ref="H128:J128"/>
    <mergeCell ref="K128:M128"/>
    <mergeCell ref="N128:O128"/>
    <mergeCell ref="A125:E125"/>
    <mergeCell ref="F125:G125"/>
    <mergeCell ref="H125:J125"/>
    <mergeCell ref="K125:M125"/>
    <mergeCell ref="N125:O125"/>
    <mergeCell ref="A126:E126"/>
    <mergeCell ref="F126:G126"/>
    <mergeCell ref="H126:J126"/>
    <mergeCell ref="K126:M126"/>
    <mergeCell ref="N126:O126"/>
    <mergeCell ref="A123:E123"/>
    <mergeCell ref="F123:G123"/>
    <mergeCell ref="H123:J123"/>
    <mergeCell ref="K123:M123"/>
    <mergeCell ref="N123:O123"/>
    <mergeCell ref="A124:E124"/>
    <mergeCell ref="F124:G124"/>
    <mergeCell ref="H124:J124"/>
    <mergeCell ref="K124:M124"/>
    <mergeCell ref="N124:O124"/>
    <mergeCell ref="A121:E121"/>
    <mergeCell ref="F121:G121"/>
    <mergeCell ref="H121:J121"/>
    <mergeCell ref="K121:M121"/>
    <mergeCell ref="N121:O121"/>
    <mergeCell ref="A122:E122"/>
    <mergeCell ref="F122:G122"/>
    <mergeCell ref="H122:J122"/>
    <mergeCell ref="K122:M122"/>
    <mergeCell ref="N122:O122"/>
    <mergeCell ref="A119:E119"/>
    <mergeCell ref="F119:G119"/>
    <mergeCell ref="H119:J119"/>
    <mergeCell ref="K119:M119"/>
    <mergeCell ref="N119:O119"/>
    <mergeCell ref="A120:E120"/>
    <mergeCell ref="F120:G120"/>
    <mergeCell ref="H120:J120"/>
    <mergeCell ref="K120:M120"/>
    <mergeCell ref="N120:O120"/>
    <mergeCell ref="A117:E117"/>
    <mergeCell ref="F117:G117"/>
    <mergeCell ref="H117:J117"/>
    <mergeCell ref="K117:M117"/>
    <mergeCell ref="N117:O117"/>
    <mergeCell ref="A118:E118"/>
    <mergeCell ref="F118:G118"/>
    <mergeCell ref="H118:J118"/>
    <mergeCell ref="K118:M118"/>
    <mergeCell ref="N118:O118"/>
    <mergeCell ref="A115:E115"/>
    <mergeCell ref="F115:G115"/>
    <mergeCell ref="H115:J115"/>
    <mergeCell ref="K115:M115"/>
    <mergeCell ref="N115:O115"/>
    <mergeCell ref="A116:E116"/>
    <mergeCell ref="F116:G116"/>
    <mergeCell ref="H116:J116"/>
    <mergeCell ref="K116:M116"/>
    <mergeCell ref="N116:O116"/>
    <mergeCell ref="A113:E113"/>
    <mergeCell ref="F113:G113"/>
    <mergeCell ref="H113:J113"/>
    <mergeCell ref="K113:M113"/>
    <mergeCell ref="N113:O113"/>
    <mergeCell ref="A114:E114"/>
    <mergeCell ref="F114:G114"/>
    <mergeCell ref="H114:J114"/>
    <mergeCell ref="K114:M114"/>
    <mergeCell ref="N114:O114"/>
    <mergeCell ref="A111:E111"/>
    <mergeCell ref="F111:G111"/>
    <mergeCell ref="H111:J111"/>
    <mergeCell ref="K111:M111"/>
    <mergeCell ref="N111:O111"/>
    <mergeCell ref="A112:E112"/>
    <mergeCell ref="F112:G112"/>
    <mergeCell ref="H112:J112"/>
    <mergeCell ref="K112:M112"/>
    <mergeCell ref="N112:O112"/>
    <mergeCell ref="A109:E109"/>
    <mergeCell ref="F109:G109"/>
    <mergeCell ref="H109:J109"/>
    <mergeCell ref="K109:M109"/>
    <mergeCell ref="N109:O109"/>
    <mergeCell ref="A110:E110"/>
    <mergeCell ref="F110:G110"/>
    <mergeCell ref="H110:J110"/>
    <mergeCell ref="K110:M110"/>
    <mergeCell ref="N110:O110"/>
    <mergeCell ref="A107:E107"/>
    <mergeCell ref="F107:G107"/>
    <mergeCell ref="H107:J107"/>
    <mergeCell ref="K107:M107"/>
    <mergeCell ref="N107:O107"/>
    <mergeCell ref="A108:E108"/>
    <mergeCell ref="F108:G108"/>
    <mergeCell ref="H108:J108"/>
    <mergeCell ref="K108:M108"/>
    <mergeCell ref="N108:O108"/>
    <mergeCell ref="A105:E105"/>
    <mergeCell ref="F105:G105"/>
    <mergeCell ref="H105:J105"/>
    <mergeCell ref="K105:M105"/>
    <mergeCell ref="N105:O105"/>
    <mergeCell ref="A106:E106"/>
    <mergeCell ref="F106:G106"/>
    <mergeCell ref="H106:J106"/>
    <mergeCell ref="K106:M106"/>
    <mergeCell ref="N106:O106"/>
    <mergeCell ref="A103:E103"/>
    <mergeCell ref="F103:G103"/>
    <mergeCell ref="H103:J103"/>
    <mergeCell ref="K103:M103"/>
    <mergeCell ref="N103:O103"/>
    <mergeCell ref="A104:E104"/>
    <mergeCell ref="F104:G104"/>
    <mergeCell ref="H104:J104"/>
    <mergeCell ref="K104:M104"/>
    <mergeCell ref="N104:O104"/>
    <mergeCell ref="A101:E101"/>
    <mergeCell ref="F101:G101"/>
    <mergeCell ref="H101:J101"/>
    <mergeCell ref="K101:M101"/>
    <mergeCell ref="N101:O101"/>
    <mergeCell ref="A102:E102"/>
    <mergeCell ref="F102:G102"/>
    <mergeCell ref="H102:J102"/>
    <mergeCell ref="K102:M102"/>
    <mergeCell ref="N102:O102"/>
    <mergeCell ref="A99:E99"/>
    <mergeCell ref="F99:G99"/>
    <mergeCell ref="H99:J99"/>
    <mergeCell ref="K99:M99"/>
    <mergeCell ref="N99:O99"/>
    <mergeCell ref="A100:E100"/>
    <mergeCell ref="F100:G100"/>
    <mergeCell ref="H100:J100"/>
    <mergeCell ref="K100:M100"/>
    <mergeCell ref="N100:O100"/>
    <mergeCell ref="A97:E97"/>
    <mergeCell ref="F97:G97"/>
    <mergeCell ref="H97:J97"/>
    <mergeCell ref="K97:M97"/>
    <mergeCell ref="N97:O97"/>
    <mergeCell ref="A98:E98"/>
    <mergeCell ref="F98:G98"/>
    <mergeCell ref="H98:J98"/>
    <mergeCell ref="K98:M98"/>
    <mergeCell ref="N98:O98"/>
    <mergeCell ref="A95:E95"/>
    <mergeCell ref="F95:G95"/>
    <mergeCell ref="H95:J95"/>
    <mergeCell ref="K95:M95"/>
    <mergeCell ref="N95:O95"/>
    <mergeCell ref="A96:E96"/>
    <mergeCell ref="F96:G96"/>
    <mergeCell ref="H96:J96"/>
    <mergeCell ref="K96:M96"/>
    <mergeCell ref="N96:O96"/>
    <mergeCell ref="A93:E93"/>
    <mergeCell ref="F93:G93"/>
    <mergeCell ref="H93:J93"/>
    <mergeCell ref="K93:M93"/>
    <mergeCell ref="N93:O93"/>
    <mergeCell ref="A94:E94"/>
    <mergeCell ref="F94:G94"/>
    <mergeCell ref="H94:J94"/>
    <mergeCell ref="K94:M94"/>
    <mergeCell ref="N94:O94"/>
    <mergeCell ref="A91:E91"/>
    <mergeCell ref="F91:G91"/>
    <mergeCell ref="H91:J91"/>
    <mergeCell ref="K91:M91"/>
    <mergeCell ref="N91:O91"/>
    <mergeCell ref="A92:E92"/>
    <mergeCell ref="F92:G92"/>
    <mergeCell ref="H92:J92"/>
    <mergeCell ref="K92:M92"/>
    <mergeCell ref="N92:O92"/>
    <mergeCell ref="A89:E89"/>
    <mergeCell ref="F89:G89"/>
    <mergeCell ref="H89:J89"/>
    <mergeCell ref="K89:M89"/>
    <mergeCell ref="N89:O89"/>
    <mergeCell ref="A90:E90"/>
    <mergeCell ref="F90:G90"/>
    <mergeCell ref="H90:J90"/>
    <mergeCell ref="K90:M90"/>
    <mergeCell ref="N90:O90"/>
    <mergeCell ref="A87:E87"/>
    <mergeCell ref="F87:G87"/>
    <mergeCell ref="H87:J87"/>
    <mergeCell ref="K87:M87"/>
    <mergeCell ref="N87:O87"/>
    <mergeCell ref="A88:E88"/>
    <mergeCell ref="F88:G88"/>
    <mergeCell ref="H88:J88"/>
    <mergeCell ref="K88:M88"/>
    <mergeCell ref="N88:O88"/>
    <mergeCell ref="A85:E85"/>
    <mergeCell ref="F85:G85"/>
    <mergeCell ref="H85:J85"/>
    <mergeCell ref="K85:M85"/>
    <mergeCell ref="N85:O85"/>
    <mergeCell ref="A86:E86"/>
    <mergeCell ref="F86:G86"/>
    <mergeCell ref="H86:J86"/>
    <mergeCell ref="K86:M86"/>
    <mergeCell ref="N86:O86"/>
    <mergeCell ref="A83:E83"/>
    <mergeCell ref="F83:G83"/>
    <mergeCell ref="H83:J83"/>
    <mergeCell ref="K83:M83"/>
    <mergeCell ref="N83:O83"/>
    <mergeCell ref="A84:E84"/>
    <mergeCell ref="F84:G84"/>
    <mergeCell ref="H84:J84"/>
    <mergeCell ref="K84:M84"/>
    <mergeCell ref="N84:O84"/>
    <mergeCell ref="A81:E81"/>
    <mergeCell ref="F81:G81"/>
    <mergeCell ref="H81:J81"/>
    <mergeCell ref="K81:M81"/>
    <mergeCell ref="N81:O81"/>
    <mergeCell ref="A82:E82"/>
    <mergeCell ref="F82:G82"/>
    <mergeCell ref="H82:J82"/>
    <mergeCell ref="K82:M82"/>
    <mergeCell ref="N82:O82"/>
    <mergeCell ref="A79:E79"/>
    <mergeCell ref="F79:G79"/>
    <mergeCell ref="H79:J79"/>
    <mergeCell ref="K79:M79"/>
    <mergeCell ref="N79:O79"/>
    <mergeCell ref="A80:E80"/>
    <mergeCell ref="F80:G80"/>
    <mergeCell ref="H80:J80"/>
    <mergeCell ref="K80:M80"/>
    <mergeCell ref="N80:O80"/>
    <mergeCell ref="A77:E77"/>
    <mergeCell ref="F77:G77"/>
    <mergeCell ref="H77:J77"/>
    <mergeCell ref="K77:M77"/>
    <mergeCell ref="N77:O77"/>
    <mergeCell ref="A78:E78"/>
    <mergeCell ref="F78:G78"/>
    <mergeCell ref="H78:J78"/>
    <mergeCell ref="K78:M78"/>
    <mergeCell ref="N78:O78"/>
    <mergeCell ref="A75:E75"/>
    <mergeCell ref="F75:G75"/>
    <mergeCell ref="H75:J75"/>
    <mergeCell ref="K75:M75"/>
    <mergeCell ref="N75:O75"/>
    <mergeCell ref="A76:E76"/>
    <mergeCell ref="F76:G76"/>
    <mergeCell ref="H76:J76"/>
    <mergeCell ref="K76:M76"/>
    <mergeCell ref="N76:O76"/>
    <mergeCell ref="A73:E73"/>
    <mergeCell ref="F73:G73"/>
    <mergeCell ref="H73:J73"/>
    <mergeCell ref="K73:M73"/>
    <mergeCell ref="N73:O73"/>
    <mergeCell ref="A74:E74"/>
    <mergeCell ref="F74:G74"/>
    <mergeCell ref="H74:J74"/>
    <mergeCell ref="K74:M74"/>
    <mergeCell ref="N74:O74"/>
    <mergeCell ref="A71:E71"/>
    <mergeCell ref="F71:G71"/>
    <mergeCell ref="H71:J71"/>
    <mergeCell ref="K71:M71"/>
    <mergeCell ref="N71:O71"/>
    <mergeCell ref="A72:E72"/>
    <mergeCell ref="F72:G72"/>
    <mergeCell ref="H72:J72"/>
    <mergeCell ref="K72:M72"/>
    <mergeCell ref="N72:O72"/>
    <mergeCell ref="A69:E69"/>
    <mergeCell ref="F69:G69"/>
    <mergeCell ref="H69:J69"/>
    <mergeCell ref="K69:M69"/>
    <mergeCell ref="N69:O69"/>
    <mergeCell ref="A70:E70"/>
    <mergeCell ref="F70:G70"/>
    <mergeCell ref="H70:J70"/>
    <mergeCell ref="K70:M70"/>
    <mergeCell ref="N70:O70"/>
    <mergeCell ref="A67:E67"/>
    <mergeCell ref="F67:G67"/>
    <mergeCell ref="H67:J67"/>
    <mergeCell ref="K67:M67"/>
    <mergeCell ref="N67:O67"/>
    <mergeCell ref="A68:E68"/>
    <mergeCell ref="F68:G68"/>
    <mergeCell ref="H68:J68"/>
    <mergeCell ref="K68:M68"/>
    <mergeCell ref="N68:O68"/>
    <mergeCell ref="A65:E65"/>
    <mergeCell ref="F65:G65"/>
    <mergeCell ref="H65:J65"/>
    <mergeCell ref="K65:M65"/>
    <mergeCell ref="N65:O65"/>
    <mergeCell ref="A66:E66"/>
    <mergeCell ref="F66:G66"/>
    <mergeCell ref="H66:J66"/>
    <mergeCell ref="K66:M66"/>
    <mergeCell ref="N66:O66"/>
    <mergeCell ref="A63:E63"/>
    <mergeCell ref="F63:G63"/>
    <mergeCell ref="H63:J63"/>
    <mergeCell ref="K63:M63"/>
    <mergeCell ref="N63:O63"/>
    <mergeCell ref="A64:E64"/>
    <mergeCell ref="F64:G64"/>
    <mergeCell ref="H64:J64"/>
    <mergeCell ref="K64:M64"/>
    <mergeCell ref="N64:O64"/>
    <mergeCell ref="A61:E61"/>
    <mergeCell ref="F61:G61"/>
    <mergeCell ref="H61:J61"/>
    <mergeCell ref="K61:M61"/>
    <mergeCell ref="N61:O61"/>
    <mergeCell ref="A62:E62"/>
    <mergeCell ref="F62:G62"/>
    <mergeCell ref="H62:J62"/>
    <mergeCell ref="K62:M62"/>
    <mergeCell ref="N62:O62"/>
    <mergeCell ref="A59:E59"/>
    <mergeCell ref="F59:G59"/>
    <mergeCell ref="H59:J59"/>
    <mergeCell ref="K59:M59"/>
    <mergeCell ref="N59:O59"/>
    <mergeCell ref="A60:E60"/>
    <mergeCell ref="F60:G60"/>
    <mergeCell ref="H60:J60"/>
    <mergeCell ref="K60:M60"/>
    <mergeCell ref="N60:O60"/>
    <mergeCell ref="A57:E57"/>
    <mergeCell ref="F57:G57"/>
    <mergeCell ref="H57:J57"/>
    <mergeCell ref="K57:M57"/>
    <mergeCell ref="N57:O57"/>
    <mergeCell ref="A58:E58"/>
    <mergeCell ref="F58:G58"/>
    <mergeCell ref="H58:J58"/>
    <mergeCell ref="K58:M58"/>
    <mergeCell ref="N58:O58"/>
    <mergeCell ref="A55:E55"/>
    <mergeCell ref="F55:G55"/>
    <mergeCell ref="H55:J55"/>
    <mergeCell ref="K55:M55"/>
    <mergeCell ref="N55:O55"/>
    <mergeCell ref="A56:E56"/>
    <mergeCell ref="F56:G56"/>
    <mergeCell ref="H56:J56"/>
    <mergeCell ref="K56:M56"/>
    <mergeCell ref="N56:O56"/>
    <mergeCell ref="A53:E53"/>
    <mergeCell ref="F53:G53"/>
    <mergeCell ref="H53:J53"/>
    <mergeCell ref="K53:M53"/>
    <mergeCell ref="N53:O53"/>
    <mergeCell ref="A54:E54"/>
    <mergeCell ref="F54:G54"/>
    <mergeCell ref="H54:J54"/>
    <mergeCell ref="K54:M54"/>
    <mergeCell ref="N54:O54"/>
    <mergeCell ref="A51:E51"/>
    <mergeCell ref="F51:G51"/>
    <mergeCell ref="H51:J51"/>
    <mergeCell ref="K51:M51"/>
    <mergeCell ref="N51:O51"/>
    <mergeCell ref="A52:E52"/>
    <mergeCell ref="F52:G52"/>
    <mergeCell ref="H52:J52"/>
    <mergeCell ref="K52:M52"/>
    <mergeCell ref="N52:O52"/>
    <mergeCell ref="A49:E49"/>
    <mergeCell ref="F49:G49"/>
    <mergeCell ref="H49:J49"/>
    <mergeCell ref="K49:M49"/>
    <mergeCell ref="N49:O49"/>
    <mergeCell ref="A50:E50"/>
    <mergeCell ref="F50:G50"/>
    <mergeCell ref="H50:J50"/>
    <mergeCell ref="K50:M50"/>
    <mergeCell ref="N50:O50"/>
    <mergeCell ref="A47:E47"/>
    <mergeCell ref="F47:G47"/>
    <mergeCell ref="H47:J47"/>
    <mergeCell ref="K47:M47"/>
    <mergeCell ref="N47:O47"/>
    <mergeCell ref="A48:E48"/>
    <mergeCell ref="F48:G48"/>
    <mergeCell ref="H48:J48"/>
    <mergeCell ref="K48:M48"/>
    <mergeCell ref="N48:O48"/>
    <mergeCell ref="A45:E45"/>
    <mergeCell ref="F45:G45"/>
    <mergeCell ref="H45:J45"/>
    <mergeCell ref="K45:M45"/>
    <mergeCell ref="N45:O45"/>
    <mergeCell ref="A46:E46"/>
    <mergeCell ref="F46:G46"/>
    <mergeCell ref="H46:J46"/>
    <mergeCell ref="K46:M46"/>
    <mergeCell ref="N46:O46"/>
    <mergeCell ref="A43:E43"/>
    <mergeCell ref="F43:G43"/>
    <mergeCell ref="H43:J43"/>
    <mergeCell ref="K43:M43"/>
    <mergeCell ref="N43:O43"/>
    <mergeCell ref="A44:E44"/>
    <mergeCell ref="F44:G44"/>
    <mergeCell ref="H44:J44"/>
    <mergeCell ref="K44:M44"/>
    <mergeCell ref="N44:O44"/>
    <mergeCell ref="A41:E41"/>
    <mergeCell ref="F41:G41"/>
    <mergeCell ref="H41:J41"/>
    <mergeCell ref="K41:M41"/>
    <mergeCell ref="N41:O41"/>
    <mergeCell ref="A42:E42"/>
    <mergeCell ref="F42:G42"/>
    <mergeCell ref="H42:J42"/>
    <mergeCell ref="K42:M42"/>
    <mergeCell ref="N42:O42"/>
    <mergeCell ref="A39:E39"/>
    <mergeCell ref="F39:G39"/>
    <mergeCell ref="H39:J39"/>
    <mergeCell ref="K39:M39"/>
    <mergeCell ref="N39:O39"/>
    <mergeCell ref="A40:E40"/>
    <mergeCell ref="F40:G40"/>
    <mergeCell ref="H40:J40"/>
    <mergeCell ref="K40:M40"/>
    <mergeCell ref="N40:O40"/>
    <mergeCell ref="A37:E37"/>
    <mergeCell ref="F37:G37"/>
    <mergeCell ref="H37:J37"/>
    <mergeCell ref="K37:M37"/>
    <mergeCell ref="N37:O37"/>
    <mergeCell ref="A38:E38"/>
    <mergeCell ref="F38:G38"/>
    <mergeCell ref="H38:J38"/>
    <mergeCell ref="K38:M38"/>
    <mergeCell ref="N38:O38"/>
    <mergeCell ref="A35:E35"/>
    <mergeCell ref="F35:G35"/>
    <mergeCell ref="H35:J35"/>
    <mergeCell ref="K35:M35"/>
    <mergeCell ref="N35:O35"/>
    <mergeCell ref="A36:E36"/>
    <mergeCell ref="F36:G36"/>
    <mergeCell ref="H36:J36"/>
    <mergeCell ref="K36:M36"/>
    <mergeCell ref="N36:O36"/>
    <mergeCell ref="A33:E33"/>
    <mergeCell ref="F33:G33"/>
    <mergeCell ref="H33:J33"/>
    <mergeCell ref="K33:M33"/>
    <mergeCell ref="N33:O33"/>
    <mergeCell ref="A34:E34"/>
    <mergeCell ref="F34:G34"/>
    <mergeCell ref="H34:J34"/>
    <mergeCell ref="K34:M34"/>
    <mergeCell ref="N34:O34"/>
    <mergeCell ref="A31:E31"/>
    <mergeCell ref="F31:G31"/>
    <mergeCell ref="H31:J31"/>
    <mergeCell ref="K31:M31"/>
    <mergeCell ref="N31:O31"/>
    <mergeCell ref="A32:E32"/>
    <mergeCell ref="F32:G32"/>
    <mergeCell ref="H32:J32"/>
    <mergeCell ref="K32:M32"/>
    <mergeCell ref="N32:O32"/>
    <mergeCell ref="A29:E29"/>
    <mergeCell ref="F29:G29"/>
    <mergeCell ref="H29:J29"/>
    <mergeCell ref="K29:M29"/>
    <mergeCell ref="N29:O29"/>
    <mergeCell ref="A30:E30"/>
    <mergeCell ref="F30:G30"/>
    <mergeCell ref="H30:J30"/>
    <mergeCell ref="K30:M30"/>
    <mergeCell ref="N30:O30"/>
    <mergeCell ref="A27:E27"/>
    <mergeCell ref="F27:G27"/>
    <mergeCell ref="H27:J27"/>
    <mergeCell ref="K27:M27"/>
    <mergeCell ref="N27:O27"/>
    <mergeCell ref="A28:E28"/>
    <mergeCell ref="F28:G28"/>
    <mergeCell ref="H28:J28"/>
    <mergeCell ref="K28:M28"/>
    <mergeCell ref="N28:O28"/>
    <mergeCell ref="A25:E25"/>
    <mergeCell ref="F25:G25"/>
    <mergeCell ref="H25:J25"/>
    <mergeCell ref="K25:M25"/>
    <mergeCell ref="N25:O25"/>
    <mergeCell ref="A26:E26"/>
    <mergeCell ref="F26:G26"/>
    <mergeCell ref="H26:J26"/>
    <mergeCell ref="K26:M26"/>
    <mergeCell ref="N26:O26"/>
    <mergeCell ref="A23:E23"/>
    <mergeCell ref="F23:G23"/>
    <mergeCell ref="H23:J23"/>
    <mergeCell ref="K23:M23"/>
    <mergeCell ref="N23:O23"/>
    <mergeCell ref="A24:E24"/>
    <mergeCell ref="F24:G24"/>
    <mergeCell ref="H24:J24"/>
    <mergeCell ref="K24:M24"/>
    <mergeCell ref="N24:O24"/>
    <mergeCell ref="A21:E21"/>
    <mergeCell ref="F21:G21"/>
    <mergeCell ref="H21:J21"/>
    <mergeCell ref="K21:M21"/>
    <mergeCell ref="N21:O21"/>
    <mergeCell ref="A22:E22"/>
    <mergeCell ref="F22:G22"/>
    <mergeCell ref="H22:J22"/>
    <mergeCell ref="K22:M22"/>
    <mergeCell ref="N22:O22"/>
    <mergeCell ref="A19:E19"/>
    <mergeCell ref="F19:G19"/>
    <mergeCell ref="H19:J19"/>
    <mergeCell ref="K19:M19"/>
    <mergeCell ref="N19:O19"/>
    <mergeCell ref="A20:E20"/>
    <mergeCell ref="F20:G20"/>
    <mergeCell ref="H20:J20"/>
    <mergeCell ref="K20:M20"/>
    <mergeCell ref="N20:O20"/>
    <mergeCell ref="A17:E17"/>
    <mergeCell ref="F17:G17"/>
    <mergeCell ref="H17:J17"/>
    <mergeCell ref="K17:M17"/>
    <mergeCell ref="N17:O17"/>
    <mergeCell ref="A18:E18"/>
    <mergeCell ref="F18:G18"/>
    <mergeCell ref="H18:J18"/>
    <mergeCell ref="K18:M18"/>
    <mergeCell ref="N18:O18"/>
    <mergeCell ref="A15:E15"/>
    <mergeCell ref="F15:G15"/>
    <mergeCell ref="H15:J15"/>
    <mergeCell ref="K15:M15"/>
    <mergeCell ref="N15:O15"/>
    <mergeCell ref="A16:E16"/>
    <mergeCell ref="F16:G16"/>
    <mergeCell ref="H16:J16"/>
    <mergeCell ref="K16:M16"/>
    <mergeCell ref="N16:O16"/>
    <mergeCell ref="A13:E13"/>
    <mergeCell ref="F13:G13"/>
    <mergeCell ref="H13:J13"/>
    <mergeCell ref="K13:M13"/>
    <mergeCell ref="N13:O13"/>
    <mergeCell ref="A14:E14"/>
    <mergeCell ref="F14:G14"/>
    <mergeCell ref="H14:J14"/>
    <mergeCell ref="K14:M14"/>
    <mergeCell ref="N14:O14"/>
    <mergeCell ref="A11:E11"/>
    <mergeCell ref="F11:G11"/>
    <mergeCell ref="H11:J11"/>
    <mergeCell ref="K11:M11"/>
    <mergeCell ref="N11:O11"/>
    <mergeCell ref="A12:E12"/>
    <mergeCell ref="F12:G12"/>
    <mergeCell ref="H12:J12"/>
    <mergeCell ref="K12:M12"/>
    <mergeCell ref="N12:O12"/>
    <mergeCell ref="A2:I2"/>
    <mergeCell ref="A3:I3"/>
    <mergeCell ref="A4:D5"/>
    <mergeCell ref="A6:O6"/>
    <mergeCell ref="J7:O7"/>
    <mergeCell ref="A8:O8"/>
    <mergeCell ref="A10:D10"/>
    <mergeCell ref="E10:F10"/>
    <mergeCell ref="G10:H10"/>
    <mergeCell ref="I10:L10"/>
    <mergeCell ref="M10:O10"/>
  </mergeCells>
  <pageMargins left="0.19666667282581299" right="0.18999999761581399" top="0.20000000298023199" bottom="0.20000000298023199" header="0.3" footer="0.3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12</vt:i4>
      </vt:variant>
      <vt:variant>
        <vt:lpstr>Intervalos Nomeados</vt:lpstr>
      </vt:variant>
      <vt:variant>
        <vt:i4>6</vt:i4>
      </vt:variant>
    </vt:vector>
  </HeadingPairs>
  <TitlesOfParts>
    <vt:vector size="18" baseType="lpstr">
      <vt:lpstr>Orientações Iniciais</vt:lpstr>
      <vt:lpstr>Mapa Estratégico e ODS </vt:lpstr>
      <vt:lpstr>Indicadores e Metas</vt:lpstr>
      <vt:lpstr>Quadro Geral</vt:lpstr>
      <vt:lpstr>Anexo 1. Fontes e Aplicações</vt:lpstr>
      <vt:lpstr>Anexo 2. Limites Estratégicos</vt:lpstr>
      <vt:lpstr>Anexo 3. Elemento de Despesas</vt:lpstr>
      <vt:lpstr>Matriz de Obj. Estrat.</vt:lpstr>
      <vt:lpstr>Receita</vt:lpstr>
      <vt:lpstr>Despesa</vt:lpstr>
      <vt:lpstr>Diretrizes - Resumo</vt:lpstr>
      <vt:lpstr>Resumo</vt:lpstr>
      <vt:lpstr>'Anexo 1. Fontes e Aplicações'!Area_de_impressao</vt:lpstr>
      <vt:lpstr>'Anexo 3. Elemento de Despesas'!Area_de_impressao</vt:lpstr>
      <vt:lpstr>'Indicadores e Metas'!Area_de_impressao</vt:lpstr>
      <vt:lpstr>'Mapa Estratégico e ODS '!Area_de_impressao</vt:lpstr>
      <vt:lpstr>'Matriz de Obj. Estrat.'!Area_de_impressao</vt:lpstr>
      <vt:lpstr>'Quadro Geral'!Area_de_impressao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GERPLAN-CAU/BR</dc:creator>
  <cp:lastModifiedBy>Zaile Chagas</cp:lastModifiedBy>
  <cp:lastPrinted>2023-07-17T16:18:36Z</cp:lastPrinted>
  <dcterms:created xsi:type="dcterms:W3CDTF">2013-07-30T15:20:59Z</dcterms:created>
  <dcterms:modified xsi:type="dcterms:W3CDTF">2023-07-19T18:01:31Z</dcterms:modified>
</cp:coreProperties>
</file>