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ldx" ContentType="application/vnd.openxmlformats-officedocument.presentationml.slide"/>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ralfe.vinhas\Documents\"/>
    </mc:Choice>
  </mc:AlternateContent>
  <bookViews>
    <workbookView xWindow="0" yWindow="0" windowWidth="28800" windowHeight="12435" tabRatio="884" activeTab="13"/>
  </bookViews>
  <sheets>
    <sheet name="Mapa Estratégico" sheetId="17" r:id="rId1"/>
    <sheet name="Matriz Objetivos x Projetos" sheetId="14" state="hidden" r:id="rId2"/>
    <sheet name="Indicadores e Metas1" sheetId="21" state="hidden" r:id="rId3"/>
    <sheet name="Indicadores e Metas" sheetId="30" r:id="rId4"/>
    <sheet name="Quadro Geral" sheetId="15" r:id="rId5"/>
    <sheet name="Sheet" sheetId="61" state="hidden" r:id="rId6"/>
    <sheet name="Anexo_1.1_Limites Estratégicos" sheetId="23" r:id="rId7"/>
    <sheet name="Anexo_1.2_Usos e Fontes" sheetId="8" r:id="rId8"/>
    <sheet name="Anexo_1.3_ Elemento de Despesas" sheetId="18" r:id="rId9"/>
    <sheet name="Anexo_1.4_Dados" sheetId="1" state="hidden" r:id="rId10"/>
    <sheet name="2019" sheetId="26" r:id="rId11"/>
    <sheet name="Anexo 1.4-Presidência" sheetId="31" r:id="rId12"/>
    <sheet name="Anexo 1.4-Direção Geral" sheetId="32" r:id="rId13"/>
    <sheet name="Anexo 1.4-GETEC" sheetId="33" r:id="rId14"/>
    <sheet name="Anexo 1.4-GEOP" sheetId="34" r:id="rId15"/>
    <sheet name="Anexo 1.4-Gerência Financeira" sheetId="35" r:id="rId16"/>
    <sheet name="Anexo 1.4-ASSEJUR" sheetId="28" r:id="rId17"/>
    <sheet name="Anexo 1.4-Com. Ética" sheetId="36" r:id="rId18"/>
    <sheet name="Anexo 1.4-Com Atos" sheetId="42" r:id="rId19"/>
    <sheet name="Anexo 1.4-Com Exercicio" sheetId="43" r:id="rId20"/>
    <sheet name="Anexo 1.4-Com. Planejamento" sheetId="46" r:id="rId21"/>
    <sheet name="Anexo 1.4-Com. Ensino" sheetId="47" r:id="rId22"/>
    <sheet name="Anexo 1.4-Plenária" sheetId="48" r:id="rId23"/>
    <sheet name="Anexo 1.4-APC" sheetId="50" r:id="rId24"/>
    <sheet name="Anexo 1.4-Comunicação" sheetId="51" r:id="rId25"/>
    <sheet name="Anexo 1.4-GEAT" sheetId="52" r:id="rId26"/>
    <sheet name="Anexo 1.4-GEFIS" sheetId="53" r:id="rId27"/>
    <sheet name="Anexo 1.4-CAUBA Mais Perto" sheetId="55" r:id="rId28"/>
    <sheet name="Anexo 1.4-Aporte Fundo de Apoio" sheetId="56" r:id="rId29"/>
    <sheet name="Anexo 1.4-Aquisição Sede" sheetId="57" r:id="rId30"/>
    <sheet name="Anexo 1.4-Reforma Sede CAUBA" sheetId="59" r:id="rId31"/>
    <sheet name="Anexo 1.4-Reserva de Contingênc" sheetId="62" r:id="rId32"/>
    <sheet name="Anexo 1.4-CSC- Fiscalização" sheetId="63" r:id="rId33"/>
    <sheet name="Anexo 1.4-CSC- Atendimento" sheetId="65" r:id="rId34"/>
    <sheet name="Plan1" sheetId="27" state="hidden" r:id="rId35"/>
  </sheets>
  <externalReferences>
    <externalReference r:id="rId36"/>
    <externalReference r:id="rId37"/>
  </externalReferences>
  <definedNames>
    <definedName name="_xlnm._FilterDatabase" localSheetId="4" hidden="1">'Quadro Geral'!$A$8:$X$40</definedName>
    <definedName name="A" localSheetId="23">#REF!</definedName>
    <definedName name="A" localSheetId="28">#REF!</definedName>
    <definedName name="A" localSheetId="29">#REF!</definedName>
    <definedName name="A" localSheetId="16">#REF!</definedName>
    <definedName name="A" localSheetId="27">#REF!</definedName>
    <definedName name="A" localSheetId="18">#REF!</definedName>
    <definedName name="A" localSheetId="19">#REF!</definedName>
    <definedName name="A" localSheetId="21">#REF!</definedName>
    <definedName name="A" localSheetId="17">#REF!</definedName>
    <definedName name="A" localSheetId="20">#REF!</definedName>
    <definedName name="A" localSheetId="24">#REF!</definedName>
    <definedName name="A" localSheetId="33">#REF!</definedName>
    <definedName name="A" localSheetId="32">#REF!</definedName>
    <definedName name="A" localSheetId="12">#REF!</definedName>
    <definedName name="A" localSheetId="25">#REF!</definedName>
    <definedName name="A" localSheetId="26">#REF!</definedName>
    <definedName name="A" localSheetId="14">#REF!</definedName>
    <definedName name="A" localSheetId="15">#REF!</definedName>
    <definedName name="A" localSheetId="13">#REF!</definedName>
    <definedName name="A" localSheetId="22">#REF!</definedName>
    <definedName name="A" localSheetId="11">#REF!</definedName>
    <definedName name="A" localSheetId="30">#REF!</definedName>
    <definedName name="A" localSheetId="31">#REF!</definedName>
    <definedName name="A" localSheetId="1">#REF!</definedName>
    <definedName name="A" localSheetId="4">#REF!</definedName>
    <definedName name="A">#REF!</definedName>
    <definedName name="_xlnm.Print_Area" localSheetId="7">'Anexo_1.2_Usos e Fontes'!$A$1:$H$37</definedName>
    <definedName name="_xlnm.Print_Area" localSheetId="9">Anexo_1.4_Dados!$B$1:$F$33</definedName>
    <definedName name="_xlnm.Print_Area" localSheetId="3">'Indicadores e Metas'!$A$1:$F$114</definedName>
    <definedName name="_xlnm.Print_Area" localSheetId="2">'Indicadores e Metas1'!$A$1:$E$68</definedName>
    <definedName name="_xlnm.Print_Area" localSheetId="0">'Mapa Estratégico'!$A$1:$I$27</definedName>
    <definedName name="_xlnm.Print_Area" localSheetId="1">'Matriz Objetivos x Projetos'!$A$1:$W$24</definedName>
    <definedName name="_xlnm.Print_Area" localSheetId="4">'Quadro Geral'!$A$1:$P$47</definedName>
    <definedName name="_xlnm.Database" localSheetId="23">#REF!</definedName>
    <definedName name="_xlnm.Database" localSheetId="28">#REF!</definedName>
    <definedName name="_xlnm.Database" localSheetId="29">#REF!</definedName>
    <definedName name="_xlnm.Database" localSheetId="16">#REF!</definedName>
    <definedName name="_xlnm.Database" localSheetId="27">#REF!</definedName>
    <definedName name="_xlnm.Database" localSheetId="18">#REF!</definedName>
    <definedName name="_xlnm.Database" localSheetId="19">#REF!</definedName>
    <definedName name="_xlnm.Database" localSheetId="21">#REF!</definedName>
    <definedName name="_xlnm.Database" localSheetId="17">#REF!</definedName>
    <definedName name="_xlnm.Database" localSheetId="20">#REF!</definedName>
    <definedName name="_xlnm.Database" localSheetId="24">#REF!</definedName>
    <definedName name="_xlnm.Database" localSheetId="33">#REF!</definedName>
    <definedName name="_xlnm.Database" localSheetId="32">#REF!</definedName>
    <definedName name="_xlnm.Database" localSheetId="12">#REF!</definedName>
    <definedName name="_xlnm.Database" localSheetId="25">#REF!</definedName>
    <definedName name="_xlnm.Database" localSheetId="26">#REF!</definedName>
    <definedName name="_xlnm.Database" localSheetId="14">#REF!</definedName>
    <definedName name="_xlnm.Database" localSheetId="15">#REF!</definedName>
    <definedName name="_xlnm.Database" localSheetId="13">#REF!</definedName>
    <definedName name="_xlnm.Database" localSheetId="22">#REF!</definedName>
    <definedName name="_xlnm.Database" localSheetId="11">#REF!</definedName>
    <definedName name="_xlnm.Database" localSheetId="30">#REF!</definedName>
    <definedName name="_xlnm.Database" localSheetId="31">#REF!</definedName>
    <definedName name="_xlnm.Database" localSheetId="1">#REF!</definedName>
    <definedName name="_xlnm.Database" localSheetId="4">#REF!</definedName>
    <definedName name="_xlnm.Database">#REF!</definedName>
    <definedName name="banco_de_dados_sym" localSheetId="23">#REF!</definedName>
    <definedName name="banco_de_dados_sym" localSheetId="28">#REF!</definedName>
    <definedName name="banco_de_dados_sym" localSheetId="29">#REF!</definedName>
    <definedName name="banco_de_dados_sym" localSheetId="27">#REF!</definedName>
    <definedName name="banco_de_dados_sym" localSheetId="18">#REF!</definedName>
    <definedName name="banco_de_dados_sym" localSheetId="19">#REF!</definedName>
    <definedName name="banco_de_dados_sym" localSheetId="21">#REF!</definedName>
    <definedName name="banco_de_dados_sym" localSheetId="17">#REF!</definedName>
    <definedName name="banco_de_dados_sym" localSheetId="20">#REF!</definedName>
    <definedName name="banco_de_dados_sym" localSheetId="24">#REF!</definedName>
    <definedName name="banco_de_dados_sym" localSheetId="33">#REF!</definedName>
    <definedName name="banco_de_dados_sym" localSheetId="32">#REF!</definedName>
    <definedName name="banco_de_dados_sym" localSheetId="12">#REF!</definedName>
    <definedName name="banco_de_dados_sym" localSheetId="25">#REF!</definedName>
    <definedName name="banco_de_dados_sym" localSheetId="26">#REF!</definedName>
    <definedName name="banco_de_dados_sym" localSheetId="14">#REF!</definedName>
    <definedName name="banco_de_dados_sym" localSheetId="15">#REF!</definedName>
    <definedName name="banco_de_dados_sym" localSheetId="13">#REF!</definedName>
    <definedName name="banco_de_dados_sym" localSheetId="22">#REF!</definedName>
    <definedName name="banco_de_dados_sym" localSheetId="11">#REF!</definedName>
    <definedName name="banco_de_dados_sym" localSheetId="30">#REF!</definedName>
    <definedName name="banco_de_dados_sym" localSheetId="31">#REF!</definedName>
    <definedName name="banco_de_dados_sym" localSheetId="1">#REF!</definedName>
    <definedName name="banco_de_dados_sym">#REF!</definedName>
    <definedName name="_xlnm.Criteria" localSheetId="23">#REF!</definedName>
    <definedName name="_xlnm.Criteria" localSheetId="28">#REF!</definedName>
    <definedName name="_xlnm.Criteria" localSheetId="29">#REF!</definedName>
    <definedName name="_xlnm.Criteria" localSheetId="27">#REF!</definedName>
    <definedName name="_xlnm.Criteria" localSheetId="18">#REF!</definedName>
    <definedName name="_xlnm.Criteria" localSheetId="19">#REF!</definedName>
    <definedName name="_xlnm.Criteria" localSheetId="21">#REF!</definedName>
    <definedName name="_xlnm.Criteria" localSheetId="17">#REF!</definedName>
    <definedName name="_xlnm.Criteria" localSheetId="20">#REF!</definedName>
    <definedName name="_xlnm.Criteria" localSheetId="24">#REF!</definedName>
    <definedName name="_xlnm.Criteria" localSheetId="33">#REF!</definedName>
    <definedName name="_xlnm.Criteria" localSheetId="32">#REF!</definedName>
    <definedName name="_xlnm.Criteria" localSheetId="12">#REF!</definedName>
    <definedName name="_xlnm.Criteria" localSheetId="25">#REF!</definedName>
    <definedName name="_xlnm.Criteria" localSheetId="26">#REF!</definedName>
    <definedName name="_xlnm.Criteria" localSheetId="14">#REF!</definedName>
    <definedName name="_xlnm.Criteria" localSheetId="15">#REF!</definedName>
    <definedName name="_xlnm.Criteria" localSheetId="13">#REF!</definedName>
    <definedName name="_xlnm.Criteria" localSheetId="22">#REF!</definedName>
    <definedName name="_xlnm.Criteria" localSheetId="11">#REF!</definedName>
    <definedName name="_xlnm.Criteria" localSheetId="30">#REF!</definedName>
    <definedName name="_xlnm.Criteria" localSheetId="31">#REF!</definedName>
    <definedName name="_xlnm.Criteria" localSheetId="1">#REF!</definedName>
    <definedName name="_xlnm.Criteria">#REF!</definedName>
    <definedName name="dados" localSheetId="23">#REF!</definedName>
    <definedName name="dados" localSheetId="28">#REF!</definedName>
    <definedName name="dados" localSheetId="29">#REF!</definedName>
    <definedName name="dados" localSheetId="27">#REF!</definedName>
    <definedName name="dados" localSheetId="18">#REF!</definedName>
    <definedName name="dados" localSheetId="19">#REF!</definedName>
    <definedName name="dados" localSheetId="21">#REF!</definedName>
    <definedName name="dados" localSheetId="17">#REF!</definedName>
    <definedName name="dados" localSheetId="20">#REF!</definedName>
    <definedName name="dados" localSheetId="24">#REF!</definedName>
    <definedName name="dados" localSheetId="33">#REF!</definedName>
    <definedName name="dados" localSheetId="32">#REF!</definedName>
    <definedName name="dados" localSheetId="12">#REF!</definedName>
    <definedName name="dados" localSheetId="25">#REF!</definedName>
    <definedName name="dados" localSheetId="26">#REF!</definedName>
    <definedName name="dados" localSheetId="14">#REF!</definedName>
    <definedName name="dados" localSheetId="15">#REF!</definedName>
    <definedName name="dados" localSheetId="13">#REF!</definedName>
    <definedName name="dados" localSheetId="22">#REF!</definedName>
    <definedName name="dados" localSheetId="11">#REF!</definedName>
    <definedName name="dados" localSheetId="30">#REF!</definedName>
    <definedName name="dados" localSheetId="31">#REF!</definedName>
    <definedName name="dados" localSheetId="1">#REF!</definedName>
    <definedName name="dados">#REF!</definedName>
    <definedName name="huala" localSheetId="23">#REF!</definedName>
    <definedName name="huala" localSheetId="28">#REF!</definedName>
    <definedName name="huala" localSheetId="29">#REF!</definedName>
    <definedName name="huala" localSheetId="27">#REF!</definedName>
    <definedName name="huala" localSheetId="18">#REF!</definedName>
    <definedName name="huala" localSheetId="19">#REF!</definedName>
    <definedName name="huala" localSheetId="21">#REF!</definedName>
    <definedName name="huala" localSheetId="17">#REF!</definedName>
    <definedName name="huala" localSheetId="20">#REF!</definedName>
    <definedName name="huala" localSheetId="24">#REF!</definedName>
    <definedName name="huala" localSheetId="33">#REF!</definedName>
    <definedName name="huala" localSheetId="32">#REF!</definedName>
    <definedName name="huala" localSheetId="12">#REF!</definedName>
    <definedName name="huala" localSheetId="25">#REF!</definedName>
    <definedName name="huala" localSheetId="26">#REF!</definedName>
    <definedName name="huala" localSheetId="14">#REF!</definedName>
    <definedName name="huala" localSheetId="15">#REF!</definedName>
    <definedName name="huala" localSheetId="13">#REF!</definedName>
    <definedName name="huala" localSheetId="22">#REF!</definedName>
    <definedName name="huala" localSheetId="11">#REF!</definedName>
    <definedName name="huala" localSheetId="30">#REF!</definedName>
    <definedName name="huala" localSheetId="31">#REF!</definedName>
    <definedName name="huala" localSheetId="1">#REF!</definedName>
    <definedName name="huala">#REF!</definedName>
    <definedName name="kk" localSheetId="23">#REF!</definedName>
    <definedName name="kk" localSheetId="28">#REF!</definedName>
    <definedName name="kk" localSheetId="29">#REF!</definedName>
    <definedName name="kk" localSheetId="27">#REF!</definedName>
    <definedName name="kk" localSheetId="18">#REF!</definedName>
    <definedName name="kk" localSheetId="19">#REF!</definedName>
    <definedName name="kk" localSheetId="21">#REF!</definedName>
    <definedName name="kk" localSheetId="17">#REF!</definedName>
    <definedName name="kk" localSheetId="20">#REF!</definedName>
    <definedName name="kk" localSheetId="24">#REF!</definedName>
    <definedName name="kk" localSheetId="33">#REF!</definedName>
    <definedName name="kk" localSheetId="32">#REF!</definedName>
    <definedName name="kk" localSheetId="12">#REF!</definedName>
    <definedName name="kk" localSheetId="25">#REF!</definedName>
    <definedName name="kk" localSheetId="26">#REF!</definedName>
    <definedName name="kk" localSheetId="14">#REF!</definedName>
    <definedName name="kk" localSheetId="15">#REF!</definedName>
    <definedName name="kk" localSheetId="13">#REF!</definedName>
    <definedName name="kk" localSheetId="22">#REF!</definedName>
    <definedName name="kk" localSheetId="11">#REF!</definedName>
    <definedName name="kk" localSheetId="30">#REF!</definedName>
    <definedName name="kk" localSheetId="31">#REF!</definedName>
    <definedName name="kk" localSheetId="1">#REF!</definedName>
    <definedName name="kk">#REF!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0" i="65" l="1"/>
  <c r="P19" i="65"/>
  <c r="J19" i="65"/>
  <c r="I19" i="65"/>
  <c r="H19" i="65"/>
  <c r="K18" i="65"/>
  <c r="L18" i="65" s="1"/>
  <c r="M18" i="65" s="1"/>
  <c r="L20" i="63"/>
  <c r="P19" i="63"/>
  <c r="I19" i="63"/>
  <c r="H19" i="63"/>
  <c r="K18" i="63"/>
  <c r="L18" i="63" s="1"/>
  <c r="M18" i="63" s="1"/>
  <c r="J19" i="63"/>
  <c r="Q18" i="65" l="1"/>
  <c r="K19" i="65"/>
  <c r="Q18" i="63"/>
  <c r="K19" i="63"/>
  <c r="L19" i="63" s="1"/>
  <c r="M19" i="63" s="1"/>
  <c r="N18" i="65" l="1"/>
  <c r="N19" i="65" s="1"/>
  <c r="L19" i="65"/>
  <c r="M19" i="65" s="1"/>
  <c r="Q19" i="65"/>
  <c r="N18" i="63"/>
  <c r="N19" i="63" s="1"/>
  <c r="Q19" i="63"/>
  <c r="J18" i="62" l="1"/>
  <c r="K50" i="8" l="1"/>
  <c r="J50" i="8"/>
  <c r="N37" i="18"/>
  <c r="E22" i="8"/>
  <c r="K34" i="15"/>
  <c r="K22" i="18"/>
  <c r="K23" i="18"/>
  <c r="J21" i="18"/>
  <c r="S13" i="62" l="1"/>
  <c r="S12" i="62"/>
  <c r="S11" i="62"/>
  <c r="S10" i="62"/>
  <c r="S7" i="62"/>
  <c r="L20" i="62"/>
  <c r="P19" i="62"/>
  <c r="J19" i="62"/>
  <c r="I19" i="62"/>
  <c r="H19" i="62"/>
  <c r="K18" i="62"/>
  <c r="L18" i="62" s="1"/>
  <c r="M18" i="62" s="1"/>
  <c r="Q18" i="62" l="1"/>
  <c r="K19" i="62"/>
  <c r="L19" i="62" l="1"/>
  <c r="M19" i="62" s="1"/>
  <c r="N18" i="62"/>
  <c r="N19" i="62" s="1"/>
  <c r="Q19" i="62"/>
  <c r="P37" i="18" l="1"/>
  <c r="R37" i="18" s="1"/>
  <c r="L34" i="15"/>
  <c r="N34" i="15" s="1"/>
  <c r="D35" i="8" l="1"/>
  <c r="E26" i="23"/>
  <c r="E37" i="18"/>
  <c r="O34" i="15"/>
  <c r="P34" i="15" s="1"/>
  <c r="D22" i="8" l="1"/>
  <c r="D19" i="8"/>
  <c r="D18" i="8"/>
  <c r="L20" i="59" l="1"/>
  <c r="L20" i="57"/>
  <c r="I41" i="18"/>
  <c r="J41" i="18"/>
  <c r="L41" i="18"/>
  <c r="M41" i="18"/>
  <c r="N41" i="18"/>
  <c r="O41" i="18"/>
  <c r="Q41" i="18"/>
  <c r="O30" i="23" l="1"/>
  <c r="G12" i="23"/>
  <c r="G13" i="23"/>
  <c r="I35" i="8" l="1"/>
  <c r="I19" i="8"/>
  <c r="I20" i="8"/>
  <c r="I22" i="8"/>
  <c r="I23" i="8"/>
  <c r="I24" i="8"/>
  <c r="I26" i="8"/>
  <c r="I27" i="8"/>
  <c r="I29" i="8"/>
  <c r="I15" i="8"/>
  <c r="I16" i="8"/>
  <c r="I18" i="8"/>
  <c r="J38" i="15"/>
  <c r="C38" i="8" s="1"/>
  <c r="M38" i="15"/>
  <c r="F38" i="8" s="1"/>
  <c r="I38" i="15"/>
  <c r="B38" i="8" s="1"/>
  <c r="L37" i="15"/>
  <c r="L36" i="15"/>
  <c r="L35" i="15"/>
  <c r="L30" i="15"/>
  <c r="L29" i="15"/>
  <c r="L27" i="15"/>
  <c r="E30" i="18" s="1"/>
  <c r="L26" i="15"/>
  <c r="E29" i="18" s="1"/>
  <c r="L23" i="15"/>
  <c r="E26" i="18" s="1"/>
  <c r="L21" i="15"/>
  <c r="J39" i="15"/>
  <c r="R20" i="15"/>
  <c r="R21" i="15"/>
  <c r="R22" i="15"/>
  <c r="R23" i="15"/>
  <c r="R14" i="15"/>
  <c r="R15" i="15"/>
  <c r="R16" i="15"/>
  <c r="R17" i="15"/>
  <c r="R18" i="15"/>
  <c r="R19" i="15"/>
  <c r="R10" i="15"/>
  <c r="R11" i="15"/>
  <c r="R12" i="15"/>
  <c r="R13" i="15"/>
  <c r="Q36" i="15"/>
  <c r="Q37" i="15"/>
  <c r="Q29" i="15"/>
  <c r="Q30" i="15"/>
  <c r="Q31" i="15"/>
  <c r="Q32" i="15"/>
  <c r="Q33" i="15"/>
  <c r="Q35" i="15"/>
  <c r="Q25" i="15"/>
  <c r="Q26" i="15"/>
  <c r="Q27" i="15"/>
  <c r="Q28" i="15"/>
  <c r="O21" i="15" l="1"/>
  <c r="P21" i="15" s="1"/>
  <c r="E24" i="18"/>
  <c r="O35" i="15"/>
  <c r="E38" i="18"/>
  <c r="O36" i="15"/>
  <c r="E39" i="18"/>
  <c r="O29" i="15"/>
  <c r="E32" i="18"/>
  <c r="O37" i="15"/>
  <c r="P37" i="15" s="1"/>
  <c r="E40" i="18"/>
  <c r="O30" i="15"/>
  <c r="P30" i="15" s="1"/>
  <c r="E33" i="18"/>
  <c r="O26" i="15"/>
  <c r="P26" i="15" s="1"/>
  <c r="O27" i="15"/>
  <c r="P27" i="15" s="1"/>
  <c r="O23" i="15"/>
  <c r="P23" i="15" s="1"/>
  <c r="S16" i="15" l="1"/>
  <c r="S17" i="15"/>
  <c r="S18" i="15"/>
  <c r="S19" i="15"/>
  <c r="S20" i="15"/>
  <c r="S21" i="15"/>
  <c r="S22" i="15"/>
  <c r="S23" i="15"/>
  <c r="S24" i="15"/>
  <c r="S25" i="15"/>
  <c r="S26" i="15"/>
  <c r="S27" i="15"/>
  <c r="S28" i="15"/>
  <c r="S29" i="15"/>
  <c r="S30" i="15"/>
  <c r="S31" i="15"/>
  <c r="S32" i="15"/>
  <c r="S33" i="15"/>
  <c r="S35" i="15"/>
  <c r="S36" i="15"/>
  <c r="S37" i="15"/>
  <c r="S10" i="15"/>
  <c r="S11" i="15"/>
  <c r="S12" i="15"/>
  <c r="S13" i="15"/>
  <c r="S14" i="15"/>
  <c r="S15" i="15"/>
  <c r="S9" i="15"/>
  <c r="R24" i="15"/>
  <c r="R25" i="15"/>
  <c r="R26" i="15"/>
  <c r="R27" i="15"/>
  <c r="R28" i="15"/>
  <c r="R29" i="15"/>
  <c r="R30" i="15"/>
  <c r="R31" i="15"/>
  <c r="R32" i="15"/>
  <c r="R33" i="15"/>
  <c r="R35" i="15"/>
  <c r="R36" i="15"/>
  <c r="R37" i="15"/>
  <c r="R9" i="15"/>
  <c r="Q14" i="15"/>
  <c r="Q15" i="15"/>
  <c r="Q16" i="15"/>
  <c r="Q17" i="15"/>
  <c r="Q18" i="15"/>
  <c r="Q19" i="15"/>
  <c r="Q20" i="15"/>
  <c r="Q21" i="15"/>
  <c r="Q22" i="15"/>
  <c r="Q23" i="15"/>
  <c r="Q24" i="15"/>
  <c r="Q10" i="15"/>
  <c r="Q11" i="15"/>
  <c r="Q12" i="15"/>
  <c r="Q13" i="15"/>
  <c r="Q9" i="15"/>
  <c r="E23" i="8" l="1"/>
  <c r="E19" i="8"/>
  <c r="E18" i="8"/>
  <c r="X33" i="15" l="1"/>
  <c r="X32" i="15"/>
  <c r="X31" i="15"/>
  <c r="X28" i="15"/>
  <c r="X25" i="15"/>
  <c r="X24" i="15"/>
  <c r="X22" i="15"/>
  <c r="X20" i="15"/>
  <c r="X19" i="15"/>
  <c r="X18" i="15"/>
  <c r="X17" i="15"/>
  <c r="X16" i="15"/>
  <c r="X15" i="15"/>
  <c r="X14" i="15"/>
  <c r="X13" i="15"/>
  <c r="X12" i="15"/>
  <c r="X11" i="15"/>
  <c r="X10" i="15"/>
  <c r="W9" i="15"/>
  <c r="V9" i="15"/>
  <c r="U9" i="15"/>
  <c r="T9" i="15"/>
  <c r="X9" i="15" l="1"/>
  <c r="S13" i="56" l="1"/>
  <c r="S12" i="56"/>
  <c r="S11" i="56"/>
  <c r="S10" i="56"/>
  <c r="S7" i="56"/>
  <c r="S13" i="59"/>
  <c r="S12" i="59"/>
  <c r="S11" i="59"/>
  <c r="S10" i="59"/>
  <c r="S7" i="59"/>
  <c r="S13" i="57"/>
  <c r="S12" i="57"/>
  <c r="S11" i="57"/>
  <c r="S10" i="57"/>
  <c r="S7" i="57"/>
  <c r="S13" i="55"/>
  <c r="S12" i="55"/>
  <c r="S11" i="55"/>
  <c r="S7" i="55"/>
  <c r="S10" i="55"/>
  <c r="S13" i="53"/>
  <c r="S12" i="53"/>
  <c r="S11" i="53"/>
  <c r="S10" i="53"/>
  <c r="S7" i="53"/>
  <c r="S13" i="52"/>
  <c r="S12" i="52"/>
  <c r="S11" i="52"/>
  <c r="S10" i="52"/>
  <c r="S7" i="52"/>
  <c r="S13" i="51"/>
  <c r="S12" i="51"/>
  <c r="S11" i="51"/>
  <c r="S10" i="51"/>
  <c r="S7" i="51"/>
  <c r="S13" i="50"/>
  <c r="S12" i="50"/>
  <c r="S11" i="50"/>
  <c r="S10" i="50"/>
  <c r="S7" i="50"/>
  <c r="S13" i="48"/>
  <c r="S12" i="48"/>
  <c r="S11" i="48"/>
  <c r="S10" i="48"/>
  <c r="S7" i="48"/>
  <c r="S13" i="47"/>
  <c r="S12" i="47"/>
  <c r="S11" i="47"/>
  <c r="S10" i="47"/>
  <c r="S7" i="47"/>
  <c r="S13" i="46"/>
  <c r="S12" i="46"/>
  <c r="S11" i="46"/>
  <c r="S10" i="46"/>
  <c r="S7" i="46"/>
  <c r="S13" i="43"/>
  <c r="S12" i="43"/>
  <c r="S11" i="43"/>
  <c r="S10" i="43"/>
  <c r="S7" i="43"/>
  <c r="S13" i="42"/>
  <c r="S12" i="42"/>
  <c r="S11" i="42"/>
  <c r="S10" i="42"/>
  <c r="S7" i="42"/>
  <c r="S13" i="36"/>
  <c r="S12" i="36"/>
  <c r="S11" i="36"/>
  <c r="S10" i="36"/>
  <c r="S7" i="36"/>
  <c r="S13" i="28"/>
  <c r="S12" i="28"/>
  <c r="S11" i="28"/>
  <c r="S10" i="28"/>
  <c r="S7" i="28"/>
  <c r="S13" i="35"/>
  <c r="S12" i="35"/>
  <c r="S11" i="35"/>
  <c r="S10" i="35"/>
  <c r="S7" i="35"/>
  <c r="S13" i="34"/>
  <c r="S12" i="34"/>
  <c r="S11" i="34"/>
  <c r="S10" i="34"/>
  <c r="S7" i="34"/>
  <c r="S13" i="33"/>
  <c r="S12" i="33"/>
  <c r="S11" i="33"/>
  <c r="S10" i="33"/>
  <c r="S7" i="33"/>
  <c r="S13" i="32" l="1"/>
  <c r="S12" i="32"/>
  <c r="S11" i="32"/>
  <c r="S10" i="32"/>
  <c r="S7" i="32"/>
  <c r="S13" i="31"/>
  <c r="S12" i="31"/>
  <c r="S11" i="31"/>
  <c r="S10" i="31"/>
  <c r="S7" i="31"/>
  <c r="W37" i="15"/>
  <c r="W36" i="15"/>
  <c r="W35" i="15"/>
  <c r="W33" i="15"/>
  <c r="W32" i="15"/>
  <c r="W31" i="15"/>
  <c r="W30" i="15"/>
  <c r="W29" i="15"/>
  <c r="W28" i="15"/>
  <c r="W27" i="15"/>
  <c r="W26" i="15"/>
  <c r="W25" i="15"/>
  <c r="W24" i="15"/>
  <c r="W23" i="15"/>
  <c r="W22" i="15"/>
  <c r="W21" i="15"/>
  <c r="W20" i="15"/>
  <c r="W19" i="15"/>
  <c r="W18" i="15"/>
  <c r="W17" i="15"/>
  <c r="W16" i="15"/>
  <c r="W15" i="15"/>
  <c r="W14" i="15"/>
  <c r="W13" i="15"/>
  <c r="W12" i="15"/>
  <c r="W11" i="15"/>
  <c r="W10" i="15"/>
  <c r="V37" i="15"/>
  <c r="V36" i="15"/>
  <c r="V35" i="15"/>
  <c r="V33" i="15"/>
  <c r="V32" i="15"/>
  <c r="V31" i="15"/>
  <c r="V30" i="15"/>
  <c r="V29" i="15"/>
  <c r="V28" i="15"/>
  <c r="V27" i="15"/>
  <c r="V26" i="15"/>
  <c r="V25" i="15"/>
  <c r="V24" i="15"/>
  <c r="V23" i="15"/>
  <c r="V22" i="15"/>
  <c r="V21" i="15"/>
  <c r="V20" i="15"/>
  <c r="V19" i="15"/>
  <c r="V18" i="15"/>
  <c r="V17" i="15"/>
  <c r="V16" i="15"/>
  <c r="V15" i="15"/>
  <c r="V14" i="15"/>
  <c r="V13" i="15"/>
  <c r="V12" i="15"/>
  <c r="V11" i="15"/>
  <c r="V10" i="15"/>
  <c r="U36" i="15"/>
  <c r="U37" i="15"/>
  <c r="U35" i="15"/>
  <c r="U33" i="15"/>
  <c r="U32" i="15"/>
  <c r="U31" i="15"/>
  <c r="U30" i="15"/>
  <c r="U29" i="15"/>
  <c r="U28" i="15"/>
  <c r="U27" i="15"/>
  <c r="U26" i="15"/>
  <c r="U25" i="15"/>
  <c r="U24" i="15"/>
  <c r="U23" i="15"/>
  <c r="U22" i="15"/>
  <c r="U21" i="15"/>
  <c r="U20" i="15"/>
  <c r="U19" i="15"/>
  <c r="U18" i="15"/>
  <c r="U17" i="15"/>
  <c r="U16" i="15"/>
  <c r="U15" i="15"/>
  <c r="U14" i="15"/>
  <c r="U13" i="15"/>
  <c r="U12" i="15"/>
  <c r="U11" i="15"/>
  <c r="U10" i="15"/>
  <c r="T37" i="15"/>
  <c r="T36" i="15"/>
  <c r="T35" i="15"/>
  <c r="T33" i="15"/>
  <c r="T32" i="15"/>
  <c r="T31" i="15"/>
  <c r="T30" i="15"/>
  <c r="T29" i="15"/>
  <c r="T28" i="15"/>
  <c r="T27" i="15"/>
  <c r="T26" i="15"/>
  <c r="T25" i="15"/>
  <c r="T24" i="15"/>
  <c r="T23" i="15"/>
  <c r="T22" i="15"/>
  <c r="T21" i="15"/>
  <c r="T20" i="15"/>
  <c r="T19" i="15"/>
  <c r="T18" i="15"/>
  <c r="T17" i="15"/>
  <c r="T16" i="15"/>
  <c r="T15" i="15"/>
  <c r="T14" i="15"/>
  <c r="T13" i="15"/>
  <c r="T12" i="15"/>
  <c r="T11" i="15"/>
  <c r="T10" i="15"/>
  <c r="Q28" i="34" l="1"/>
  <c r="Q27" i="34"/>
  <c r="L26" i="34"/>
  <c r="M26" i="34" s="1"/>
  <c r="L27" i="34" l="1"/>
  <c r="M27" i="34" s="1"/>
  <c r="L28" i="34"/>
  <c r="M28" i="34" s="1"/>
  <c r="Q26" i="34"/>
  <c r="P19" i="59" l="1"/>
  <c r="J19" i="59"/>
  <c r="I19" i="59"/>
  <c r="H19" i="59"/>
  <c r="K18" i="59"/>
  <c r="Q18" i="59" s="1"/>
  <c r="P19" i="57"/>
  <c r="J19" i="57"/>
  <c r="I19" i="57"/>
  <c r="H19" i="57"/>
  <c r="K18" i="57"/>
  <c r="Q18" i="57" s="1"/>
  <c r="P19" i="56"/>
  <c r="J19" i="56"/>
  <c r="I19" i="56"/>
  <c r="H19" i="56"/>
  <c r="K18" i="56"/>
  <c r="Q18" i="56" s="1"/>
  <c r="L18" i="59" l="1"/>
  <c r="M18" i="59" s="1"/>
  <c r="L18" i="57"/>
  <c r="M18" i="57" s="1"/>
  <c r="K19" i="57"/>
  <c r="Q19" i="57" s="1"/>
  <c r="L18" i="56"/>
  <c r="M18" i="56" s="1"/>
  <c r="K19" i="56"/>
  <c r="L19" i="56" s="1"/>
  <c r="M19" i="56" s="1"/>
  <c r="K19" i="59"/>
  <c r="Q19" i="59" l="1"/>
  <c r="L19" i="57"/>
  <c r="M19" i="57" s="1"/>
  <c r="N18" i="57"/>
  <c r="N18" i="56"/>
  <c r="N19" i="56" s="1"/>
  <c r="Q19" i="56"/>
  <c r="L19" i="59"/>
  <c r="M19" i="59" s="1"/>
  <c r="N18" i="59"/>
  <c r="N19" i="57" l="1"/>
  <c r="N19" i="59"/>
  <c r="P40" i="18" l="1"/>
  <c r="P39" i="18"/>
  <c r="R39" i="18" s="1"/>
  <c r="R40" i="18"/>
  <c r="K36" i="18"/>
  <c r="K41" i="18" s="1"/>
  <c r="H36" i="18"/>
  <c r="H41" i="18" s="1"/>
  <c r="G36" i="18"/>
  <c r="G41" i="18" s="1"/>
  <c r="T40" i="18" l="1"/>
  <c r="T39" i="18"/>
  <c r="L16" i="23"/>
  <c r="E35" i="8"/>
  <c r="L32" i="15"/>
  <c r="L28" i="15"/>
  <c r="L25" i="15"/>
  <c r="L20" i="15"/>
  <c r="L19" i="15"/>
  <c r="L18" i="15"/>
  <c r="L17" i="15"/>
  <c r="L15" i="15"/>
  <c r="L14" i="15"/>
  <c r="L13" i="15"/>
  <c r="L12" i="15"/>
  <c r="L11" i="15"/>
  <c r="L10" i="15"/>
  <c r="O32" i="15" l="1"/>
  <c r="P32" i="15" s="1"/>
  <c r="E35" i="18"/>
  <c r="O28" i="15"/>
  <c r="E31" i="18"/>
  <c r="O25" i="15"/>
  <c r="E28" i="18"/>
  <c r="O20" i="15"/>
  <c r="K20" i="48"/>
  <c r="E23" i="18"/>
  <c r="O19" i="15"/>
  <c r="E22" i="18"/>
  <c r="O18" i="15"/>
  <c r="E21" i="18"/>
  <c r="O17" i="15"/>
  <c r="E20" i="18"/>
  <c r="O15" i="15"/>
  <c r="E18" i="18"/>
  <c r="O14" i="15"/>
  <c r="E17" i="18"/>
  <c r="O13" i="15"/>
  <c r="E16" i="18"/>
  <c r="E15" i="18"/>
  <c r="E14" i="18"/>
  <c r="O10" i="15"/>
  <c r="E13" i="18"/>
  <c r="O11" i="15"/>
  <c r="O12" i="15"/>
  <c r="L31" i="15"/>
  <c r="L22" i="15"/>
  <c r="D33" i="8"/>
  <c r="L24" i="15"/>
  <c r="L16" i="15"/>
  <c r="L33" i="15"/>
  <c r="K38" i="15"/>
  <c r="D38" i="8" s="1"/>
  <c r="L9" i="15"/>
  <c r="D34" i="8"/>
  <c r="D32" i="8"/>
  <c r="D31" i="8"/>
  <c r="D26" i="8"/>
  <c r="E26" i="8" s="1"/>
  <c r="O33" i="15" l="1"/>
  <c r="E36" i="18"/>
  <c r="O31" i="15"/>
  <c r="P31" i="15" s="1"/>
  <c r="E34" i="18"/>
  <c r="E27" i="18"/>
  <c r="O22" i="15"/>
  <c r="E25" i="18"/>
  <c r="O16" i="15"/>
  <c r="E19" i="18"/>
  <c r="E12" i="18"/>
  <c r="O9" i="15"/>
  <c r="O24" i="15"/>
  <c r="L38" i="15"/>
  <c r="C21" i="8"/>
  <c r="E21" i="8" s="1"/>
  <c r="B21" i="8"/>
  <c r="I21" i="8" s="1"/>
  <c r="E16" i="8"/>
  <c r="E15" i="8"/>
  <c r="E14" i="8" l="1"/>
  <c r="E38" i="8"/>
  <c r="R45" i="18"/>
  <c r="E45" i="18"/>
  <c r="E41" i="18"/>
  <c r="P20" i="55"/>
  <c r="J20" i="55"/>
  <c r="I20" i="55"/>
  <c r="H20" i="55"/>
  <c r="L19" i="55"/>
  <c r="M19" i="55" s="1"/>
  <c r="K18" i="55"/>
  <c r="Q18" i="55" s="1"/>
  <c r="P24" i="53"/>
  <c r="J24" i="53"/>
  <c r="I24" i="53"/>
  <c r="H24" i="53"/>
  <c r="Q23" i="53"/>
  <c r="L22" i="53"/>
  <c r="M22" i="53" s="1"/>
  <c r="Q20" i="53"/>
  <c r="Q19" i="53"/>
  <c r="K18" i="53"/>
  <c r="Q18" i="53" s="1"/>
  <c r="P24" i="52"/>
  <c r="J24" i="52"/>
  <c r="I24" i="52"/>
  <c r="H24" i="52"/>
  <c r="L23" i="52"/>
  <c r="M23" i="52" s="1"/>
  <c r="L22" i="52"/>
  <c r="M22" i="52" s="1"/>
  <c r="Q20" i="52"/>
  <c r="L19" i="52"/>
  <c r="M19" i="52" s="1"/>
  <c r="K18" i="52"/>
  <c r="P20" i="51"/>
  <c r="J20" i="51"/>
  <c r="I20" i="51"/>
  <c r="H20" i="51"/>
  <c r="K19" i="51"/>
  <c r="L19" i="51" s="1"/>
  <c r="M19" i="51" s="1"/>
  <c r="K18" i="51"/>
  <c r="Q18" i="51" s="1"/>
  <c r="P19" i="50"/>
  <c r="J19" i="50"/>
  <c r="I19" i="50"/>
  <c r="H19" i="50"/>
  <c r="K18" i="50"/>
  <c r="Q18" i="50" s="1"/>
  <c r="P19" i="48"/>
  <c r="J19" i="48"/>
  <c r="I19" i="48"/>
  <c r="H19" i="48"/>
  <c r="K18" i="48"/>
  <c r="Q18" i="48" s="1"/>
  <c r="P21" i="47"/>
  <c r="J21" i="47"/>
  <c r="I21" i="47"/>
  <c r="H21" i="47"/>
  <c r="Q20" i="47"/>
  <c r="L19" i="47"/>
  <c r="M19" i="47" s="1"/>
  <c r="K18" i="47"/>
  <c r="Q18" i="47" s="1"/>
  <c r="P20" i="46"/>
  <c r="J20" i="46"/>
  <c r="I20" i="46"/>
  <c r="H20" i="46"/>
  <c r="Q19" i="46"/>
  <c r="K18" i="46"/>
  <c r="P20" i="43"/>
  <c r="J20" i="43"/>
  <c r="I20" i="43"/>
  <c r="H20" i="43"/>
  <c r="K18" i="43"/>
  <c r="Q18" i="43" s="1"/>
  <c r="P20" i="42"/>
  <c r="J20" i="42"/>
  <c r="I20" i="42"/>
  <c r="H20" i="42"/>
  <c r="Q19" i="42"/>
  <c r="K18" i="42"/>
  <c r="L18" i="50" l="1"/>
  <c r="M18" i="50" s="1"/>
  <c r="L18" i="48"/>
  <c r="M18" i="48" s="1"/>
  <c r="L19" i="46"/>
  <c r="M19" i="46" s="1"/>
  <c r="L19" i="53"/>
  <c r="M19" i="53" s="1"/>
  <c r="L20" i="53"/>
  <c r="M20" i="53" s="1"/>
  <c r="L20" i="47"/>
  <c r="M20" i="47" s="1"/>
  <c r="L19" i="42"/>
  <c r="M19" i="42" s="1"/>
  <c r="L18" i="47"/>
  <c r="M18" i="47" s="1"/>
  <c r="K24" i="52"/>
  <c r="N19" i="52" s="1"/>
  <c r="K20" i="42"/>
  <c r="Q20" i="42" s="1"/>
  <c r="L23" i="53"/>
  <c r="M23" i="53" s="1"/>
  <c r="L18" i="43"/>
  <c r="M18" i="43" s="1"/>
  <c r="K20" i="46"/>
  <c r="Q20" i="46" s="1"/>
  <c r="L20" i="52"/>
  <c r="M20" i="52" s="1"/>
  <c r="K20" i="43"/>
  <c r="Q20" i="43" s="1"/>
  <c r="L18" i="55"/>
  <c r="M18" i="55" s="1"/>
  <c r="Q19" i="55"/>
  <c r="K20" i="55"/>
  <c r="L21" i="53"/>
  <c r="M21" i="53" s="1"/>
  <c r="Q22" i="53"/>
  <c r="L18" i="53"/>
  <c r="M18" i="53" s="1"/>
  <c r="K24" i="53"/>
  <c r="Q21" i="53"/>
  <c r="Q18" i="52"/>
  <c r="L21" i="52"/>
  <c r="M21" i="52" s="1"/>
  <c r="Q22" i="52"/>
  <c r="L18" i="52"/>
  <c r="M18" i="52" s="1"/>
  <c r="Q19" i="52"/>
  <c r="Q23" i="52"/>
  <c r="Q21" i="52"/>
  <c r="L18" i="51"/>
  <c r="M18" i="51" s="1"/>
  <c r="Q19" i="51"/>
  <c r="K20" i="51"/>
  <c r="K19" i="50"/>
  <c r="K19" i="48"/>
  <c r="K21" i="47"/>
  <c r="Q19" i="47"/>
  <c r="Q18" i="46"/>
  <c r="L18" i="46"/>
  <c r="M18" i="46" s="1"/>
  <c r="L19" i="43"/>
  <c r="M19" i="43" s="1"/>
  <c r="Q19" i="43"/>
  <c r="Q18" i="42"/>
  <c r="L18" i="42"/>
  <c r="M18" i="42" s="1"/>
  <c r="N19" i="43" l="1"/>
  <c r="N18" i="52"/>
  <c r="N22" i="52"/>
  <c r="L20" i="46"/>
  <c r="M20" i="46" s="1"/>
  <c r="N19" i="46"/>
  <c r="N18" i="46"/>
  <c r="N18" i="43"/>
  <c r="L20" i="43"/>
  <c r="M20" i="43" s="1"/>
  <c r="N19" i="42"/>
  <c r="N20" i="42" s="1"/>
  <c r="N18" i="42"/>
  <c r="N19" i="47"/>
  <c r="L20" i="42"/>
  <c r="M20" i="42" s="1"/>
  <c r="N21" i="52"/>
  <c r="N23" i="52"/>
  <c r="Q24" i="52"/>
  <c r="L24" i="52"/>
  <c r="M24" i="52" s="1"/>
  <c r="N20" i="52"/>
  <c r="L20" i="55"/>
  <c r="M20" i="55" s="1"/>
  <c r="N18" i="55"/>
  <c r="N19" i="55"/>
  <c r="Q20" i="55"/>
  <c r="Q24" i="53"/>
  <c r="L24" i="53"/>
  <c r="M24" i="53" s="1"/>
  <c r="N23" i="53"/>
  <c r="N19" i="53"/>
  <c r="N22" i="53"/>
  <c r="N18" i="53"/>
  <c r="N20" i="53"/>
  <c r="N21" i="53"/>
  <c r="L20" i="51"/>
  <c r="M20" i="51" s="1"/>
  <c r="N19" i="51"/>
  <c r="N18" i="51"/>
  <c r="Q20" i="51"/>
  <c r="L19" i="50"/>
  <c r="M19" i="50" s="1"/>
  <c r="N18" i="50"/>
  <c r="Q19" i="50"/>
  <c r="L19" i="48"/>
  <c r="M19" i="48" s="1"/>
  <c r="N18" i="48"/>
  <c r="Q19" i="48"/>
  <c r="L21" i="47"/>
  <c r="M21" i="47" s="1"/>
  <c r="N20" i="47"/>
  <c r="N18" i="47"/>
  <c r="Q21" i="47"/>
  <c r="N20" i="43"/>
  <c r="N20" i="46" l="1"/>
  <c r="N24" i="52"/>
  <c r="N21" i="47"/>
  <c r="N20" i="55"/>
  <c r="N24" i="53"/>
  <c r="N20" i="51"/>
  <c r="N19" i="50"/>
  <c r="N19" i="48"/>
  <c r="Q28" i="28" l="1"/>
  <c r="L27" i="28"/>
  <c r="M27" i="28" s="1"/>
  <c r="Q30" i="28"/>
  <c r="P20" i="36"/>
  <c r="J20" i="36"/>
  <c r="I20" i="36"/>
  <c r="H20" i="36"/>
  <c r="Q19" i="36"/>
  <c r="K18" i="36"/>
  <c r="P22" i="35"/>
  <c r="J22" i="35"/>
  <c r="I22" i="35"/>
  <c r="H22" i="35"/>
  <c r="L21" i="35"/>
  <c r="M21" i="35" s="1"/>
  <c r="L20" i="35"/>
  <c r="M20" i="35" s="1"/>
  <c r="L19" i="35"/>
  <c r="M19" i="35" s="1"/>
  <c r="K18" i="35"/>
  <c r="Q18" i="35" s="1"/>
  <c r="P29" i="34"/>
  <c r="J29" i="34"/>
  <c r="I29" i="34"/>
  <c r="H29" i="34"/>
  <c r="L25" i="34"/>
  <c r="M25" i="34" s="1"/>
  <c r="L24" i="34"/>
  <c r="M24" i="34" s="1"/>
  <c r="Q22" i="34"/>
  <c r="L21" i="34"/>
  <c r="M21" i="34" s="1"/>
  <c r="L20" i="34"/>
  <c r="M20" i="34" s="1"/>
  <c r="K18" i="34"/>
  <c r="Q18" i="34" s="1"/>
  <c r="L22" i="34" l="1"/>
  <c r="M22" i="34" s="1"/>
  <c r="L19" i="36"/>
  <c r="M19" i="36" s="1"/>
  <c r="L18" i="35"/>
  <c r="M18" i="35" s="1"/>
  <c r="L18" i="34"/>
  <c r="M18" i="34" s="1"/>
  <c r="K20" i="36"/>
  <c r="L28" i="28"/>
  <c r="M28" i="28" s="1"/>
  <c r="Q27" i="28"/>
  <c r="Q29" i="28"/>
  <c r="L29" i="28"/>
  <c r="M29" i="28" s="1"/>
  <c r="L30" i="28"/>
  <c r="M30" i="28" s="1"/>
  <c r="Q18" i="36"/>
  <c r="L18" i="36"/>
  <c r="M18" i="36" s="1"/>
  <c r="Q20" i="35"/>
  <c r="Q21" i="35"/>
  <c r="Q19" i="35"/>
  <c r="K22" i="35"/>
  <c r="K29" i="34"/>
  <c r="L19" i="34"/>
  <c r="M19" i="34" s="1"/>
  <c r="Q20" i="34"/>
  <c r="L23" i="34"/>
  <c r="M23" i="34" s="1"/>
  <c r="Q24" i="34"/>
  <c r="Q21" i="34"/>
  <c r="Q25" i="34"/>
  <c r="Q19" i="34"/>
  <c r="Q23" i="34"/>
  <c r="P22" i="33"/>
  <c r="J22" i="33"/>
  <c r="I22" i="33"/>
  <c r="H22" i="33"/>
  <c r="L21" i="33"/>
  <c r="M21" i="33" s="1"/>
  <c r="Q19" i="33"/>
  <c r="K18" i="33"/>
  <c r="P23" i="32"/>
  <c r="J23" i="32"/>
  <c r="I23" i="32"/>
  <c r="H23" i="32"/>
  <c r="Q22" i="32"/>
  <c r="Q20" i="32"/>
  <c r="L19" i="32"/>
  <c r="M19" i="32" s="1"/>
  <c r="K18" i="32"/>
  <c r="Q18" i="32" s="1"/>
  <c r="P21" i="31"/>
  <c r="J21" i="31"/>
  <c r="I21" i="31"/>
  <c r="H21" i="31"/>
  <c r="Q20" i="31"/>
  <c r="L19" i="31"/>
  <c r="M19" i="31" s="1"/>
  <c r="K18" i="31"/>
  <c r="Q18" i="31" s="1"/>
  <c r="N27" i="34" l="1"/>
  <c r="N26" i="34"/>
  <c r="N28" i="34"/>
  <c r="N19" i="36"/>
  <c r="L20" i="32"/>
  <c r="M20" i="32" s="1"/>
  <c r="L22" i="32"/>
  <c r="M22" i="32" s="1"/>
  <c r="L20" i="31"/>
  <c r="M20" i="31" s="1"/>
  <c r="L18" i="31"/>
  <c r="M18" i="31" s="1"/>
  <c r="Q22" i="35"/>
  <c r="L18" i="32"/>
  <c r="M18" i="32" s="1"/>
  <c r="L20" i="36"/>
  <c r="M20" i="36" s="1"/>
  <c r="L19" i="33"/>
  <c r="M19" i="33" s="1"/>
  <c r="N18" i="36"/>
  <c r="Q20" i="36"/>
  <c r="K22" i="33"/>
  <c r="L22" i="33" s="1"/>
  <c r="M22" i="33" s="1"/>
  <c r="L22" i="35"/>
  <c r="M22" i="35" s="1"/>
  <c r="N21" i="35"/>
  <c r="N18" i="35"/>
  <c r="N20" i="35"/>
  <c r="N19" i="35"/>
  <c r="N25" i="34"/>
  <c r="N21" i="34"/>
  <c r="N22" i="34"/>
  <c r="L29" i="34"/>
  <c r="M29" i="34" s="1"/>
  <c r="N24" i="34"/>
  <c r="N20" i="34"/>
  <c r="N23" i="34"/>
  <c r="N19" i="34"/>
  <c r="N18" i="34"/>
  <c r="Q29" i="34"/>
  <c r="L20" i="33"/>
  <c r="M20" i="33" s="1"/>
  <c r="Q21" i="33"/>
  <c r="Q18" i="33"/>
  <c r="Q20" i="33"/>
  <c r="L18" i="33"/>
  <c r="M18" i="33" s="1"/>
  <c r="Q19" i="32"/>
  <c r="Q21" i="32"/>
  <c r="L21" i="32"/>
  <c r="M21" i="32" s="1"/>
  <c r="K23" i="32"/>
  <c r="Q19" i="31"/>
  <c r="K21" i="31"/>
  <c r="Q21" i="31" s="1"/>
  <c r="Q23" i="32" l="1"/>
  <c r="N20" i="36"/>
  <c r="N21" i="33"/>
  <c r="N19" i="33"/>
  <c r="N20" i="33"/>
  <c r="N18" i="33"/>
  <c r="Q22" i="33"/>
  <c r="N22" i="35"/>
  <c r="N29" i="34"/>
  <c r="N19" i="32"/>
  <c r="L23" i="32"/>
  <c r="M23" i="32" s="1"/>
  <c r="N20" i="32"/>
  <c r="N22" i="32"/>
  <c r="N18" i="32"/>
  <c r="N21" i="32"/>
  <c r="L21" i="31"/>
  <c r="M21" i="31" s="1"/>
  <c r="N20" i="31"/>
  <c r="N18" i="31"/>
  <c r="N19" i="31"/>
  <c r="N22" i="33" l="1"/>
  <c r="N23" i="32"/>
  <c r="N21" i="31"/>
  <c r="C34" i="8" l="1"/>
  <c r="E34" i="8" s="1"/>
  <c r="C33" i="8"/>
  <c r="E33" i="8" s="1"/>
  <c r="C32" i="8"/>
  <c r="E32" i="8" s="1"/>
  <c r="C31" i="8"/>
  <c r="E31" i="8" s="1"/>
  <c r="B34" i="8"/>
  <c r="I34" i="8" s="1"/>
  <c r="B33" i="8"/>
  <c r="I33" i="8" s="1"/>
  <c r="B32" i="8"/>
  <c r="I32" i="8" s="1"/>
  <c r="B31" i="8"/>
  <c r="I31" i="8" s="1"/>
  <c r="D24" i="23"/>
  <c r="G24" i="23" s="1"/>
  <c r="D22" i="23"/>
  <c r="G22" i="23" s="1"/>
  <c r="D20" i="23"/>
  <c r="G20" i="23" s="1"/>
  <c r="D18" i="23"/>
  <c r="G18" i="23" s="1"/>
  <c r="D16" i="23"/>
  <c r="G16" i="23" s="1"/>
  <c r="D14" i="23"/>
  <c r="G14" i="23" s="1"/>
  <c r="D40" i="18" l="1"/>
  <c r="D39" i="18"/>
  <c r="C40" i="18"/>
  <c r="C39" i="18"/>
  <c r="B40" i="18"/>
  <c r="B39" i="18"/>
  <c r="A40" i="18"/>
  <c r="A39" i="18"/>
  <c r="N36" i="15" l="1"/>
  <c r="N37" i="15"/>
  <c r="P36" i="15"/>
  <c r="A2" i="30"/>
  <c r="I32" i="28" l="1"/>
  <c r="J32" i="28"/>
  <c r="H32" i="28"/>
  <c r="K18" i="28"/>
  <c r="L18" i="28" s="1"/>
  <c r="M18" i="28" s="1"/>
  <c r="L19" i="28"/>
  <c r="M19" i="28" s="1"/>
  <c r="L20" i="28"/>
  <c r="M20" i="28" s="1"/>
  <c r="L21" i="28"/>
  <c r="M21" i="28" s="1"/>
  <c r="L22" i="28"/>
  <c r="M22" i="28" s="1"/>
  <c r="L23" i="28"/>
  <c r="M23" i="28" s="1"/>
  <c r="L24" i="28"/>
  <c r="M24" i="28" s="1"/>
  <c r="L25" i="28"/>
  <c r="M25" i="28" s="1"/>
  <c r="L26" i="28"/>
  <c r="M26" i="28" s="1"/>
  <c r="L31" i="28"/>
  <c r="M31" i="28" s="1"/>
  <c r="F31" i="8"/>
  <c r="F32" i="8"/>
  <c r="F33" i="8"/>
  <c r="F34" i="8"/>
  <c r="F35" i="8"/>
  <c r="F15" i="8"/>
  <c r="F16" i="8"/>
  <c r="F18" i="8"/>
  <c r="F19" i="8"/>
  <c r="F20" i="8"/>
  <c r="F21" i="8"/>
  <c r="F22" i="8"/>
  <c r="F23" i="8"/>
  <c r="F24" i="8"/>
  <c r="F26" i="8"/>
  <c r="F27" i="8"/>
  <c r="C30" i="8"/>
  <c r="C36" i="8" s="1"/>
  <c r="D30" i="8"/>
  <c r="D36" i="8" s="1"/>
  <c r="C25" i="8"/>
  <c r="D25" i="8"/>
  <c r="C17" i="8"/>
  <c r="D17" i="8"/>
  <c r="C14" i="8"/>
  <c r="D14" i="8"/>
  <c r="A24" i="18"/>
  <c r="B24" i="18"/>
  <c r="C24" i="18"/>
  <c r="D24" i="18"/>
  <c r="A25" i="18"/>
  <c r="B25" i="18"/>
  <c r="C25" i="18"/>
  <c r="D25" i="18"/>
  <c r="A26" i="18"/>
  <c r="B26" i="18"/>
  <c r="C26" i="18"/>
  <c r="D26" i="18"/>
  <c r="A27" i="18"/>
  <c r="B27" i="18"/>
  <c r="C27" i="18"/>
  <c r="D27" i="18"/>
  <c r="A28" i="18"/>
  <c r="B28" i="18"/>
  <c r="C28" i="18"/>
  <c r="D28" i="18"/>
  <c r="A29" i="18"/>
  <c r="B29" i="18"/>
  <c r="C29" i="18"/>
  <c r="D29" i="18"/>
  <c r="A30" i="18"/>
  <c r="B30" i="18"/>
  <c r="C30" i="18"/>
  <c r="D30" i="18"/>
  <c r="A31" i="18"/>
  <c r="B31" i="18"/>
  <c r="C31" i="18"/>
  <c r="D31" i="18"/>
  <c r="A32" i="18"/>
  <c r="B32" i="18"/>
  <c r="C32" i="18"/>
  <c r="D32" i="18"/>
  <c r="A33" i="18"/>
  <c r="B33" i="18"/>
  <c r="C33" i="18"/>
  <c r="D33" i="18"/>
  <c r="A34" i="18"/>
  <c r="B34" i="18"/>
  <c r="C34" i="18"/>
  <c r="D34" i="18"/>
  <c r="A35" i="18"/>
  <c r="B35" i="18"/>
  <c r="C35" i="18"/>
  <c r="D35" i="18"/>
  <c r="A36" i="18"/>
  <c r="B36" i="18"/>
  <c r="C36" i="18"/>
  <c r="D36" i="18"/>
  <c r="A38" i="18"/>
  <c r="B38" i="18"/>
  <c r="C38" i="18"/>
  <c r="D38" i="18"/>
  <c r="D13" i="8" l="1"/>
  <c r="D12" i="8" s="1"/>
  <c r="D11" i="8" s="1"/>
  <c r="D28" i="8" s="1"/>
  <c r="D37" i="8" s="1"/>
  <c r="Q18" i="28"/>
  <c r="K32" i="28"/>
  <c r="C13" i="8"/>
  <c r="C12" i="8" s="1"/>
  <c r="C11" i="8" s="1"/>
  <c r="C28" i="8" s="1"/>
  <c r="C37" i="8" s="1"/>
  <c r="X38" i="15"/>
  <c r="E20" i="23"/>
  <c r="M16" i="23"/>
  <c r="E24" i="23"/>
  <c r="P12" i="15" l="1"/>
  <c r="E14" i="23"/>
  <c r="E22" i="23"/>
  <c r="E18" i="23"/>
  <c r="E16" i="23"/>
  <c r="N29" i="28"/>
  <c r="N28" i="28"/>
  <c r="N27" i="28"/>
  <c r="L32" i="28"/>
  <c r="N30" i="28"/>
  <c r="P17" i="15"/>
  <c r="P15" i="15"/>
  <c r="P22" i="15"/>
  <c r="P14" i="15"/>
  <c r="P33" i="15"/>
  <c r="P29" i="15"/>
  <c r="P13" i="15"/>
  <c r="N28" i="15"/>
  <c r="P20" i="15"/>
  <c r="P16" i="15"/>
  <c r="P19" i="15"/>
  <c r="P11" i="15"/>
  <c r="P25" i="15"/>
  <c r="P24" i="15"/>
  <c r="P35" i="15"/>
  <c r="P18" i="15"/>
  <c r="N10" i="15"/>
  <c r="N32" i="15"/>
  <c r="N24" i="15"/>
  <c r="N16" i="15"/>
  <c r="P28" i="15"/>
  <c r="N31" i="15"/>
  <c r="N27" i="15"/>
  <c r="N23" i="15"/>
  <c r="N19" i="15"/>
  <c r="N15" i="15"/>
  <c r="N11" i="15"/>
  <c r="P10" i="15"/>
  <c r="N9" i="15"/>
  <c r="N20" i="15"/>
  <c r="N12" i="15"/>
  <c r="N35" i="15"/>
  <c r="M20" i="57" s="1"/>
  <c r="N30" i="15"/>
  <c r="N26" i="15"/>
  <c r="N22" i="15"/>
  <c r="N18" i="15"/>
  <c r="N14" i="15"/>
  <c r="N33" i="15"/>
  <c r="N29" i="15"/>
  <c r="N25" i="15"/>
  <c r="N21" i="15"/>
  <c r="N17" i="15"/>
  <c r="N13" i="15"/>
  <c r="B30" i="8"/>
  <c r="I30" i="8" s="1"/>
  <c r="E10" i="23"/>
  <c r="O38" i="15" l="1"/>
  <c r="P38" i="15" s="1"/>
  <c r="P9" i="15"/>
  <c r="N38" i="15"/>
  <c r="B36" i="8"/>
  <c r="I36" i="8" s="1"/>
  <c r="B14" i="8"/>
  <c r="I14" i="8" s="1"/>
  <c r="L14" i="23" l="1"/>
  <c r="N8" i="23"/>
  <c r="N16" i="23"/>
  <c r="F14" i="23"/>
  <c r="E25" i="8"/>
  <c r="B25" i="8"/>
  <c r="E30" i="8"/>
  <c r="D13" i="18"/>
  <c r="D14" i="18"/>
  <c r="D15" i="18"/>
  <c r="D16" i="18"/>
  <c r="D17" i="18"/>
  <c r="D18" i="18"/>
  <c r="D19" i="18"/>
  <c r="D20" i="18"/>
  <c r="D21" i="18"/>
  <c r="D22" i="18"/>
  <c r="D23" i="18"/>
  <c r="C13" i="18"/>
  <c r="C14" i="18"/>
  <c r="C15" i="18"/>
  <c r="C16" i="18"/>
  <c r="C17" i="18"/>
  <c r="C18" i="18"/>
  <c r="C19" i="18"/>
  <c r="C20" i="18"/>
  <c r="C21" i="18"/>
  <c r="C22" i="18"/>
  <c r="C23" i="18"/>
  <c r="B13" i="18"/>
  <c r="B14" i="18"/>
  <c r="B15" i="18"/>
  <c r="B16" i="18"/>
  <c r="B17" i="18"/>
  <c r="B18" i="18"/>
  <c r="B19" i="18"/>
  <c r="B20" i="18"/>
  <c r="B21" i="18"/>
  <c r="B22" i="18"/>
  <c r="B23" i="18"/>
  <c r="A13" i="18"/>
  <c r="A14" i="18"/>
  <c r="A15" i="18"/>
  <c r="A16" i="18"/>
  <c r="A17" i="18"/>
  <c r="A18" i="18"/>
  <c r="A19" i="18"/>
  <c r="A20" i="18"/>
  <c r="A21" i="18"/>
  <c r="A22" i="18"/>
  <c r="A23" i="18"/>
  <c r="B17" i="8"/>
  <c r="I17" i="8" s="1"/>
  <c r="C43" i="8" l="1"/>
  <c r="I43" i="8" s="1"/>
  <c r="I25" i="8"/>
  <c r="E36" i="8"/>
  <c r="H30" i="8" s="1"/>
  <c r="F30" i="8"/>
  <c r="D43" i="8"/>
  <c r="E43" i="8" s="1"/>
  <c r="F25" i="8"/>
  <c r="B13" i="8"/>
  <c r="G31" i="8"/>
  <c r="G32" i="8"/>
  <c r="G33" i="8"/>
  <c r="G34" i="8"/>
  <c r="G35" i="8"/>
  <c r="G15" i="8"/>
  <c r="G16" i="8"/>
  <c r="G18" i="8"/>
  <c r="G19" i="8"/>
  <c r="G20" i="8"/>
  <c r="G21" i="8"/>
  <c r="G22" i="8"/>
  <c r="G23" i="8"/>
  <c r="G24" i="8"/>
  <c r="G26" i="8"/>
  <c r="G27" i="8"/>
  <c r="D10" i="23"/>
  <c r="G10" i="23" s="1"/>
  <c r="D8" i="23"/>
  <c r="G8" i="23" s="1"/>
  <c r="E8" i="23"/>
  <c r="B12" i="8" l="1"/>
  <c r="I13" i="8"/>
  <c r="H36" i="8"/>
  <c r="F36" i="8"/>
  <c r="P13" i="18"/>
  <c r="R13" i="18" s="1"/>
  <c r="T13" i="18" s="1"/>
  <c r="P14" i="18"/>
  <c r="R14" i="18" s="1"/>
  <c r="T14" i="18" s="1"/>
  <c r="P15" i="18"/>
  <c r="R15" i="18" s="1"/>
  <c r="T15" i="18" s="1"/>
  <c r="P16" i="18"/>
  <c r="R16" i="18" s="1"/>
  <c r="T16" i="18" s="1"/>
  <c r="P17" i="18"/>
  <c r="R17" i="18" s="1"/>
  <c r="T17" i="18" s="1"/>
  <c r="P18" i="18"/>
  <c r="R18" i="18" s="1"/>
  <c r="T18" i="18" s="1"/>
  <c r="P19" i="18"/>
  <c r="R19" i="18" s="1"/>
  <c r="T19" i="18" s="1"/>
  <c r="P20" i="18"/>
  <c r="R20" i="18" s="1"/>
  <c r="T20" i="18" s="1"/>
  <c r="P21" i="18"/>
  <c r="R21" i="18" s="1"/>
  <c r="T21" i="18" s="1"/>
  <c r="P22" i="18"/>
  <c r="R22" i="18" s="1"/>
  <c r="T22" i="18" s="1"/>
  <c r="P23" i="18"/>
  <c r="R23" i="18" s="1"/>
  <c r="T23" i="18" s="1"/>
  <c r="D7" i="23" l="1"/>
  <c r="I12" i="8"/>
  <c r="F14" i="8"/>
  <c r="E17" i="8"/>
  <c r="A46" i="15"/>
  <c r="G7" i="23" l="1"/>
  <c r="D9" i="23"/>
  <c r="F17" i="8"/>
  <c r="G17" i="8" s="1"/>
  <c r="E13" i="8"/>
  <c r="G14" i="8"/>
  <c r="A47" i="15"/>
  <c r="Q19" i="28"/>
  <c r="Q20" i="28"/>
  <c r="Q21" i="28"/>
  <c r="Q22" i="28"/>
  <c r="Q23" i="28"/>
  <c r="Q24" i="28"/>
  <c r="Q25" i="28"/>
  <c r="Q26" i="28"/>
  <c r="Q31" i="28"/>
  <c r="F26" i="23"/>
  <c r="F24" i="23"/>
  <c r="F22" i="23"/>
  <c r="F20" i="23"/>
  <c r="F18" i="23"/>
  <c r="F16" i="23"/>
  <c r="P32" i="28"/>
  <c r="Q32" i="28" s="1"/>
  <c r="D11" i="23" l="1"/>
  <c r="G11" i="23" s="1"/>
  <c r="G9" i="23"/>
  <c r="F13" i="8"/>
  <c r="G13" i="8" s="1"/>
  <c r="N18" i="28"/>
  <c r="N22" i="28"/>
  <c r="N26" i="28"/>
  <c r="N19" i="28"/>
  <c r="N23" i="28"/>
  <c r="N31" i="28"/>
  <c r="N20" i="28"/>
  <c r="N24" i="28"/>
  <c r="N21" i="28"/>
  <c r="N25" i="28"/>
  <c r="E12" i="8"/>
  <c r="M32" i="28"/>
  <c r="E7" i="23" l="1"/>
  <c r="F7" i="23" s="1"/>
  <c r="F12" i="8"/>
  <c r="N32" i="28"/>
  <c r="E11" i="8"/>
  <c r="M9" i="23" s="1"/>
  <c r="A12" i="18"/>
  <c r="D42" i="8" l="1"/>
  <c r="D44" i="8" s="1"/>
  <c r="E9" i="23"/>
  <c r="E11" i="23" s="1"/>
  <c r="E28" i="8"/>
  <c r="G25" i="8"/>
  <c r="F8" i="23"/>
  <c r="F44" i="8" l="1"/>
  <c r="H11" i="8"/>
  <c r="E37" i="8"/>
  <c r="H17" i="8"/>
  <c r="H21" i="8"/>
  <c r="H14" i="8"/>
  <c r="H12" i="8"/>
  <c r="H13" i="8"/>
  <c r="H22" i="8"/>
  <c r="H16" i="8"/>
  <c r="H24" i="8"/>
  <c r="H26" i="8"/>
  <c r="H23" i="8"/>
  <c r="H20" i="8"/>
  <c r="H28" i="8"/>
  <c r="H25" i="8"/>
  <c r="H27" i="8"/>
  <c r="H19" i="8"/>
  <c r="H18" i="8"/>
  <c r="H15" i="8"/>
  <c r="A4" i="15"/>
  <c r="A3" i="21"/>
  <c r="A45" i="15"/>
  <c r="A44" i="15"/>
  <c r="F10" i="14"/>
  <c r="E10" i="14"/>
  <c r="D10" i="14"/>
  <c r="B11" i="8" l="1"/>
  <c r="I11" i="8" s="1"/>
  <c r="G12" i="8"/>
  <c r="E12" i="14"/>
  <c r="E14" i="14"/>
  <c r="E16" i="14"/>
  <c r="E17" i="14"/>
  <c r="E20" i="14"/>
  <c r="E21" i="14"/>
  <c r="E11" i="14"/>
  <c r="E18" i="14"/>
  <c r="E19" i="14"/>
  <c r="E23" i="14"/>
  <c r="E13" i="14"/>
  <c r="E15" i="14"/>
  <c r="E22" i="14"/>
  <c r="E24" i="14"/>
  <c r="F12" i="14"/>
  <c r="F14" i="14"/>
  <c r="F16" i="14"/>
  <c r="F11" i="14"/>
  <c r="F13" i="14"/>
  <c r="F15" i="14"/>
  <c r="F17" i="14"/>
  <c r="F19" i="14"/>
  <c r="F21" i="14"/>
  <c r="F22" i="14"/>
  <c r="F23" i="14"/>
  <c r="F20" i="14"/>
  <c r="F18" i="14"/>
  <c r="F24" i="14"/>
  <c r="D11" i="14"/>
  <c r="D13" i="14"/>
  <c r="D15" i="14"/>
  <c r="D17" i="14"/>
  <c r="D12" i="14"/>
  <c r="D14" i="14"/>
  <c r="D16" i="14"/>
  <c r="D18" i="14"/>
  <c r="D20" i="14"/>
  <c r="D22" i="14"/>
  <c r="D19" i="14"/>
  <c r="D21" i="14"/>
  <c r="D23" i="14"/>
  <c r="D24" i="14"/>
  <c r="C42" i="8" l="1"/>
  <c r="I42" i="8" s="1"/>
  <c r="F11" i="8"/>
  <c r="G11" i="8" s="1"/>
  <c r="B28" i="8"/>
  <c r="I28" i="8" s="1"/>
  <c r="L9" i="23"/>
  <c r="D25" i="14"/>
  <c r="F25" i="14"/>
  <c r="E25" i="14"/>
  <c r="B37" i="8" l="1"/>
  <c r="I37" i="8" s="1"/>
  <c r="F28" i="8"/>
  <c r="F37" i="8" s="1"/>
  <c r="C44" i="8"/>
  <c r="E42" i="8"/>
  <c r="E44" i="8" l="1"/>
  <c r="I44" i="8"/>
  <c r="N9" i="23"/>
  <c r="F10" i="23"/>
  <c r="L17" i="23"/>
  <c r="P24" i="18"/>
  <c r="R24" i="18" s="1"/>
  <c r="T24" i="18" s="1"/>
  <c r="P25" i="18"/>
  <c r="R25" i="18" s="1"/>
  <c r="T25" i="18" s="1"/>
  <c r="P26" i="18"/>
  <c r="R26" i="18" s="1"/>
  <c r="T26" i="18" s="1"/>
  <c r="P27" i="18"/>
  <c r="R27" i="18" s="1"/>
  <c r="T27" i="18" s="1"/>
  <c r="P28" i="18"/>
  <c r="R28" i="18" s="1"/>
  <c r="T28" i="18" s="1"/>
  <c r="P29" i="18"/>
  <c r="R29" i="18" s="1"/>
  <c r="T29" i="18" s="1"/>
  <c r="P30" i="18"/>
  <c r="R30" i="18" s="1"/>
  <c r="T30" i="18" s="1"/>
  <c r="P31" i="18"/>
  <c r="R31" i="18" s="1"/>
  <c r="T31" i="18" s="1"/>
  <c r="P32" i="18"/>
  <c r="R32" i="18" s="1"/>
  <c r="T32" i="18" s="1"/>
  <c r="P33" i="18"/>
  <c r="R33" i="18" s="1"/>
  <c r="T33" i="18" s="1"/>
  <c r="P34" i="18"/>
  <c r="R34" i="18" s="1"/>
  <c r="T34" i="18" s="1"/>
  <c r="P35" i="18"/>
  <c r="R35" i="18" s="1"/>
  <c r="T35" i="18" s="1"/>
  <c r="P36" i="18"/>
  <c r="R36" i="18" s="1"/>
  <c r="T36" i="18" s="1"/>
  <c r="P38" i="18"/>
  <c r="R38" i="18" s="1"/>
  <c r="T38" i="18" s="1"/>
  <c r="Y11" i="14" l="1"/>
  <c r="Y12" i="14" s="1"/>
  <c r="Y13" i="14" s="1"/>
  <c r="Y14" i="14" s="1"/>
  <c r="Y15" i="14" s="1"/>
  <c r="Y16" i="14" s="1"/>
  <c r="Y17" i="14" s="1"/>
  <c r="Y18" i="14" s="1"/>
  <c r="Y19" i="14" s="1"/>
  <c r="Y20" i="14" s="1"/>
  <c r="Y21" i="14" s="1"/>
  <c r="Y22" i="14"/>
  <c r="Y23" i="14" s="1"/>
  <c r="Y24" i="14" s="1"/>
  <c r="W10" i="14"/>
  <c r="V10" i="14"/>
  <c r="U10" i="14"/>
  <c r="T10" i="14"/>
  <c r="S10" i="14"/>
  <c r="R10" i="14"/>
  <c r="Q10" i="14"/>
  <c r="P10" i="14"/>
  <c r="O10" i="14"/>
  <c r="N10" i="14"/>
  <c r="M10" i="14"/>
  <c r="L10" i="14"/>
  <c r="K10" i="14"/>
  <c r="J10" i="14"/>
  <c r="I10" i="14"/>
  <c r="H10" i="14"/>
  <c r="G10" i="14"/>
  <c r="C10" i="14"/>
  <c r="K11" i="14" l="1"/>
  <c r="K13" i="14"/>
  <c r="K15" i="14"/>
  <c r="K17" i="14"/>
  <c r="K21" i="14"/>
  <c r="K18" i="14"/>
  <c r="K12" i="14"/>
  <c r="K19" i="14"/>
  <c r="K20" i="14"/>
  <c r="K22" i="14"/>
  <c r="K24" i="14"/>
  <c r="K14" i="14"/>
  <c r="K16" i="14"/>
  <c r="K23" i="14"/>
  <c r="S11" i="14"/>
  <c r="S13" i="14"/>
  <c r="S15" i="14"/>
  <c r="S17" i="14"/>
  <c r="S14" i="14"/>
  <c r="S18" i="14"/>
  <c r="S21" i="14"/>
  <c r="S16" i="14"/>
  <c r="S22" i="14"/>
  <c r="S24" i="14"/>
  <c r="S12" i="14"/>
  <c r="S19" i="14"/>
  <c r="S20" i="14"/>
  <c r="S23" i="14"/>
  <c r="P11" i="14"/>
  <c r="P13" i="14"/>
  <c r="P15" i="14"/>
  <c r="P17" i="14"/>
  <c r="P12" i="14"/>
  <c r="P14" i="14"/>
  <c r="P16" i="14"/>
  <c r="P18" i="14"/>
  <c r="P20" i="14"/>
  <c r="P21" i="14"/>
  <c r="P19" i="14"/>
  <c r="P22" i="14"/>
  <c r="P23" i="14"/>
  <c r="P24" i="14"/>
  <c r="C11" i="14"/>
  <c r="C13" i="14"/>
  <c r="C15" i="14"/>
  <c r="C17" i="14"/>
  <c r="C14" i="14"/>
  <c r="C18" i="14"/>
  <c r="C21" i="14"/>
  <c r="C16" i="14"/>
  <c r="C24" i="14"/>
  <c r="C22" i="14"/>
  <c r="C12" i="14"/>
  <c r="C19" i="14"/>
  <c r="C20" i="14"/>
  <c r="C23" i="14"/>
  <c r="J12" i="14"/>
  <c r="J14" i="14"/>
  <c r="J16" i="14"/>
  <c r="J11" i="14"/>
  <c r="J13" i="14"/>
  <c r="J15" i="14"/>
  <c r="J17" i="14"/>
  <c r="J19" i="14"/>
  <c r="J21" i="14"/>
  <c r="J20" i="14"/>
  <c r="J22" i="14"/>
  <c r="J24" i="14"/>
  <c r="J18" i="14"/>
  <c r="J23" i="14"/>
  <c r="N12" i="14"/>
  <c r="N14" i="14"/>
  <c r="N16" i="14"/>
  <c r="N11" i="14"/>
  <c r="N13" i="14"/>
  <c r="N15" i="14"/>
  <c r="N17" i="14"/>
  <c r="N19" i="14"/>
  <c r="N21" i="14"/>
  <c r="N18" i="14"/>
  <c r="N20" i="14"/>
  <c r="N22" i="14"/>
  <c r="N24" i="14"/>
  <c r="N23" i="14"/>
  <c r="R12" i="14"/>
  <c r="R14" i="14"/>
  <c r="R16" i="14"/>
  <c r="R11" i="14"/>
  <c r="R13" i="14"/>
  <c r="R15" i="14"/>
  <c r="R17" i="14"/>
  <c r="R19" i="14"/>
  <c r="R21" i="14"/>
  <c r="R22" i="14"/>
  <c r="R24" i="14"/>
  <c r="R18" i="14"/>
  <c r="R20" i="14"/>
  <c r="R23" i="14"/>
  <c r="V12" i="14"/>
  <c r="V14" i="14"/>
  <c r="V16" i="14"/>
  <c r="V11" i="14"/>
  <c r="V13" i="14"/>
  <c r="V15" i="14"/>
  <c r="V17" i="14"/>
  <c r="V19" i="14"/>
  <c r="V21" i="14"/>
  <c r="V20" i="14"/>
  <c r="V18" i="14"/>
  <c r="V22" i="14"/>
  <c r="V24" i="14"/>
  <c r="V23" i="14"/>
  <c r="G11" i="14"/>
  <c r="G13" i="14"/>
  <c r="G15" i="14"/>
  <c r="G17" i="14"/>
  <c r="G12" i="14"/>
  <c r="G14" i="14"/>
  <c r="G21" i="14"/>
  <c r="G22" i="14"/>
  <c r="G24" i="14"/>
  <c r="G16" i="14"/>
  <c r="G19" i="14"/>
  <c r="G20" i="14"/>
  <c r="G18" i="14"/>
  <c r="G23" i="14"/>
  <c r="O11" i="14"/>
  <c r="O13" i="14"/>
  <c r="O15" i="14"/>
  <c r="O17" i="14"/>
  <c r="O16" i="14"/>
  <c r="O19" i="14"/>
  <c r="O20" i="14"/>
  <c r="O18" i="14"/>
  <c r="O22" i="14"/>
  <c r="O24" i="14"/>
  <c r="O12" i="14"/>
  <c r="O14" i="14"/>
  <c r="O21" i="14"/>
  <c r="O23" i="14"/>
  <c r="W11" i="14"/>
  <c r="W13" i="14"/>
  <c r="W15" i="14"/>
  <c r="W17" i="14"/>
  <c r="W12" i="14"/>
  <c r="W19" i="14"/>
  <c r="W14" i="14"/>
  <c r="W21" i="14"/>
  <c r="W22" i="14"/>
  <c r="W24" i="14"/>
  <c r="W16" i="14"/>
  <c r="W20" i="14"/>
  <c r="W18" i="14"/>
  <c r="W23" i="14"/>
  <c r="H11" i="14"/>
  <c r="H13" i="14"/>
  <c r="H15" i="14"/>
  <c r="H17" i="14"/>
  <c r="H12" i="14"/>
  <c r="H14" i="14"/>
  <c r="H16" i="14"/>
  <c r="H18" i="14"/>
  <c r="H20" i="14"/>
  <c r="H23" i="14"/>
  <c r="H22" i="14"/>
  <c r="H19" i="14"/>
  <c r="H21" i="14"/>
  <c r="H24" i="14"/>
  <c r="L11" i="14"/>
  <c r="L13" i="14"/>
  <c r="L15" i="14"/>
  <c r="L17" i="14"/>
  <c r="L12" i="14"/>
  <c r="L14" i="14"/>
  <c r="L16" i="14"/>
  <c r="L18" i="14"/>
  <c r="L20" i="14"/>
  <c r="L21" i="14"/>
  <c r="L23" i="14"/>
  <c r="L19" i="14"/>
  <c r="L22" i="14"/>
  <c r="L24" i="14"/>
  <c r="T11" i="14"/>
  <c r="T13" i="14"/>
  <c r="T15" i="14"/>
  <c r="T17" i="14"/>
  <c r="T12" i="14"/>
  <c r="T14" i="14"/>
  <c r="T16" i="14"/>
  <c r="T18" i="14"/>
  <c r="T20" i="14"/>
  <c r="T19" i="14"/>
  <c r="T23" i="14"/>
  <c r="T22" i="14"/>
  <c r="T21" i="14"/>
  <c r="T24" i="14"/>
  <c r="I12" i="14"/>
  <c r="I14" i="14"/>
  <c r="I16" i="14"/>
  <c r="I15" i="14"/>
  <c r="I18" i="14"/>
  <c r="I19" i="14"/>
  <c r="I17" i="14"/>
  <c r="I23" i="14"/>
  <c r="I11" i="14"/>
  <c r="I13" i="14"/>
  <c r="I20" i="14"/>
  <c r="I21" i="14"/>
  <c r="I22" i="14"/>
  <c r="I24" i="14"/>
  <c r="M12" i="14"/>
  <c r="M14" i="14"/>
  <c r="M16" i="14"/>
  <c r="M13" i="14"/>
  <c r="M20" i="14"/>
  <c r="M15" i="14"/>
  <c r="M23" i="14"/>
  <c r="M17" i="14"/>
  <c r="M21" i="14"/>
  <c r="M11" i="14"/>
  <c r="M18" i="14"/>
  <c r="M19" i="14"/>
  <c r="M22" i="14"/>
  <c r="M24" i="14"/>
  <c r="Q12" i="14"/>
  <c r="Q14" i="14"/>
  <c r="Q16" i="14"/>
  <c r="Q11" i="14"/>
  <c r="Q13" i="14"/>
  <c r="Q20" i="14"/>
  <c r="Q21" i="14"/>
  <c r="Q23" i="14"/>
  <c r="Q15" i="14"/>
  <c r="Q18" i="14"/>
  <c r="Q19" i="14"/>
  <c r="Q17" i="14"/>
  <c r="Q22" i="14"/>
  <c r="Q24" i="14"/>
  <c r="U12" i="14"/>
  <c r="U14" i="14"/>
  <c r="U16" i="14"/>
  <c r="U17" i="14"/>
  <c r="U20" i="14"/>
  <c r="U21" i="14"/>
  <c r="U11" i="14"/>
  <c r="U18" i="14"/>
  <c r="U19" i="14"/>
  <c r="U23" i="14"/>
  <c r="U13" i="14"/>
  <c r="U15" i="14"/>
  <c r="U22" i="14"/>
  <c r="U24" i="14"/>
  <c r="G30" i="8"/>
  <c r="H32" i="8" l="1"/>
  <c r="H31" i="8"/>
  <c r="H34" i="8"/>
  <c r="H33" i="8"/>
  <c r="H35" i="8"/>
  <c r="U25" i="14"/>
  <c r="W25" i="14"/>
  <c r="I25" i="14"/>
  <c r="R25" i="14"/>
  <c r="J25" i="14"/>
  <c r="V25" i="14"/>
  <c r="Q25" i="14"/>
  <c r="H25" i="14"/>
  <c r="O25" i="14"/>
  <c r="S25" i="14"/>
  <c r="M25" i="14"/>
  <c r="T25" i="14"/>
  <c r="L25" i="14"/>
  <c r="G25" i="14"/>
  <c r="N25" i="14"/>
  <c r="P25" i="14"/>
  <c r="K25" i="14"/>
  <c r="E21" i="23" l="1"/>
  <c r="E27" i="23"/>
  <c r="E19" i="23"/>
  <c r="E25" i="23"/>
  <c r="E17" i="23"/>
  <c r="E23" i="23"/>
  <c r="E15" i="23"/>
  <c r="G43" i="8"/>
  <c r="M7" i="23"/>
  <c r="M14" i="23" s="1"/>
  <c r="P12" i="18"/>
  <c r="P41" i="18" s="1"/>
  <c r="H43" i="8" l="1"/>
  <c r="G42" i="8"/>
  <c r="H42" i="8" s="1"/>
  <c r="G44" i="8" l="1"/>
  <c r="H44" i="8" s="1"/>
  <c r="D12" i="18" l="1"/>
  <c r="C12" i="18"/>
  <c r="B12" i="18"/>
  <c r="G36" i="8" l="1"/>
  <c r="R12" i="18"/>
  <c r="R41" i="18" l="1"/>
  <c r="S29" i="18" s="1"/>
  <c r="T12" i="18"/>
  <c r="X13" i="14"/>
  <c r="X16" i="14"/>
  <c r="X21" i="14"/>
  <c r="X18" i="14"/>
  <c r="X12" i="14"/>
  <c r="X22" i="14"/>
  <c r="X24" i="14"/>
  <c r="X19" i="14"/>
  <c r="X14" i="14"/>
  <c r="X20" i="14"/>
  <c r="X11" i="14"/>
  <c r="X23" i="14"/>
  <c r="X15" i="14"/>
  <c r="X17" i="14"/>
  <c r="C25" i="14"/>
  <c r="S14" i="18" l="1"/>
  <c r="P42" i="18"/>
  <c r="S18" i="18"/>
  <c r="S35" i="18"/>
  <c r="S25" i="18"/>
  <c r="S38" i="18"/>
  <c r="S20" i="18"/>
  <c r="S31" i="18"/>
  <c r="S13" i="18"/>
  <c r="S27" i="18"/>
  <c r="S34" i="18"/>
  <c r="I42" i="18"/>
  <c r="S23" i="18"/>
  <c r="K42" i="18"/>
  <c r="S19" i="18"/>
  <c r="O42" i="18"/>
  <c r="J42" i="18"/>
  <c r="S16" i="18"/>
  <c r="S15" i="18"/>
  <c r="S33" i="18"/>
  <c r="M42" i="18"/>
  <c r="S17" i="18"/>
  <c r="S21" i="18"/>
  <c r="S36" i="18"/>
  <c r="H42" i="18"/>
  <c r="S28" i="18"/>
  <c r="S26" i="18"/>
  <c r="S32" i="18"/>
  <c r="S24" i="18"/>
  <c r="S22" i="18"/>
  <c r="S30" i="18"/>
  <c r="L42" i="18"/>
  <c r="S37" i="18"/>
  <c r="N42" i="18"/>
  <c r="S12" i="18"/>
  <c r="S40" i="18"/>
  <c r="S39" i="18"/>
  <c r="T41" i="18"/>
  <c r="G28" i="8"/>
  <c r="L15" i="23"/>
  <c r="R42" i="18"/>
  <c r="Q42" i="18"/>
  <c r="G42" i="18"/>
  <c r="N7" i="23" l="1"/>
  <c r="M17" i="23"/>
  <c r="N17" i="23" s="1"/>
  <c r="F9" i="23"/>
  <c r="D15" i="23"/>
  <c r="S41" i="18"/>
  <c r="F15" i="23" l="1"/>
  <c r="G15" i="23"/>
  <c r="N14" i="23"/>
  <c r="M15" i="23"/>
  <c r="N15" i="23" s="1"/>
  <c r="D27" i="23"/>
  <c r="D19" i="23"/>
  <c r="D17" i="23"/>
  <c r="D21" i="23"/>
  <c r="D25" i="23"/>
  <c r="D23" i="23"/>
  <c r="F11" i="23"/>
  <c r="F25" i="23" l="1"/>
  <c r="G25" i="23"/>
  <c r="F21" i="23"/>
  <c r="G21" i="23"/>
  <c r="F17" i="23"/>
  <c r="G17" i="23"/>
  <c r="F19" i="23"/>
  <c r="G19" i="23"/>
  <c r="F27" i="23"/>
  <c r="G27" i="23"/>
  <c r="F23" i="23"/>
  <c r="G23" i="23"/>
</calcChain>
</file>

<file path=xl/comments1.xml><?xml version="1.0" encoding="utf-8"?>
<comments xmlns="http://schemas.openxmlformats.org/spreadsheetml/2006/main">
  <authors>
    <author>Tania Mara Chaves Daldegan</author>
  </authors>
  <commentList>
    <comment ref="D8" authorId="0" shapeId="0">
      <text>
        <r>
          <rPr>
            <b/>
            <sz val="9"/>
            <color indexed="81"/>
            <rFont val="Segoe UI"/>
            <family val="2"/>
          </rPr>
          <t>Meta da Programação</t>
        </r>
      </text>
    </comment>
    <comment ref="D12" authorId="0" shapeId="0">
      <text>
        <r>
          <rPr>
            <b/>
            <sz val="9"/>
            <color indexed="81"/>
            <rFont val="Segoe UI"/>
            <family val="2"/>
          </rPr>
          <t>Meta da Programação</t>
        </r>
      </text>
    </comment>
    <comment ref="D21" authorId="0" shapeId="0">
      <text>
        <r>
          <rPr>
            <b/>
            <sz val="9"/>
            <color indexed="81"/>
            <rFont val="Segoe UI"/>
            <family val="2"/>
          </rPr>
          <t>Meta da Programação</t>
        </r>
      </text>
    </comment>
    <comment ref="D24" authorId="0" shapeId="0">
      <text>
        <r>
          <rPr>
            <b/>
            <sz val="9"/>
            <color indexed="81"/>
            <rFont val="Segoe UI"/>
            <family val="2"/>
          </rPr>
          <t>Meta da Programação</t>
        </r>
      </text>
    </comment>
    <comment ref="D31" authorId="0" shapeId="0">
      <text>
        <r>
          <rPr>
            <b/>
            <sz val="9"/>
            <color indexed="81"/>
            <rFont val="Segoe UI"/>
            <family val="2"/>
          </rPr>
          <t>Meta da Programação</t>
        </r>
      </text>
    </comment>
    <comment ref="D35" authorId="0" shapeId="0">
      <text>
        <r>
          <rPr>
            <b/>
            <sz val="9"/>
            <color indexed="81"/>
            <rFont val="Segoe UI"/>
            <family val="2"/>
          </rPr>
          <t>Meta da Programação</t>
        </r>
      </text>
    </comment>
    <comment ref="D42" authorId="0" shapeId="0">
      <text>
        <r>
          <rPr>
            <b/>
            <sz val="9"/>
            <color indexed="81"/>
            <rFont val="Segoe UI"/>
            <family val="2"/>
          </rPr>
          <t>Meta da Programação</t>
        </r>
      </text>
    </comment>
    <comment ref="D46" authorId="0" shapeId="0">
      <text>
        <r>
          <rPr>
            <b/>
            <sz val="9"/>
            <color indexed="81"/>
            <rFont val="Segoe UI"/>
            <family val="2"/>
          </rPr>
          <t>Meta da Programação</t>
        </r>
      </text>
    </comment>
    <comment ref="D49" authorId="0" shapeId="0">
      <text>
        <r>
          <rPr>
            <b/>
            <sz val="9"/>
            <color indexed="81"/>
            <rFont val="Segoe UI"/>
            <family val="2"/>
          </rPr>
          <t>Meta da Programação</t>
        </r>
      </text>
    </comment>
    <comment ref="D52" authorId="0" shapeId="0">
      <text>
        <r>
          <rPr>
            <b/>
            <sz val="9"/>
            <color indexed="81"/>
            <rFont val="Segoe UI"/>
            <family val="2"/>
          </rPr>
          <t>Meta da Programação</t>
        </r>
      </text>
    </comment>
    <comment ref="D58" authorId="0" shapeId="0">
      <text>
        <r>
          <rPr>
            <b/>
            <sz val="9"/>
            <color indexed="81"/>
            <rFont val="Segoe UI"/>
            <family val="2"/>
          </rPr>
          <t>Meta da Programação</t>
        </r>
      </text>
    </comment>
    <comment ref="D60" authorId="0" shapeId="0">
      <text>
        <r>
          <rPr>
            <b/>
            <sz val="9"/>
            <color indexed="81"/>
            <rFont val="Segoe UI"/>
            <family val="2"/>
          </rPr>
          <t>Meta da Programação</t>
        </r>
      </text>
    </comment>
    <comment ref="D64" authorId="0" shapeId="0">
      <text>
        <r>
          <rPr>
            <b/>
            <sz val="9"/>
            <color indexed="81"/>
            <rFont val="Segoe UI"/>
            <family val="2"/>
          </rPr>
          <t>Meta da Programação</t>
        </r>
      </text>
    </comment>
    <comment ref="D66" authorId="0" shapeId="0">
      <text>
        <r>
          <rPr>
            <b/>
            <sz val="9"/>
            <color indexed="81"/>
            <rFont val="Segoe UI"/>
            <family val="2"/>
          </rPr>
          <t>Meta da Programação</t>
        </r>
      </text>
    </comment>
  </commentList>
</comments>
</file>

<file path=xl/comments10.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1.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2.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3.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4.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5.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6.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7.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8.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9.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xml><?xml version="1.0" encoding="utf-8"?>
<comments xmlns="http://schemas.openxmlformats.org/spreadsheetml/2006/main">
  <authors>
    <author>Tania Mara Chaves Daldegan</author>
  </authors>
  <commentList>
    <comment ref="E7" authorId="0" shapeId="0">
      <text>
        <r>
          <rPr>
            <b/>
            <sz val="9"/>
            <color indexed="81"/>
            <rFont val="Segoe UI"/>
            <family val="2"/>
          </rPr>
          <t>Meta da Programação</t>
        </r>
      </text>
    </comment>
    <comment ref="E14" authorId="0" shapeId="0">
      <text>
        <r>
          <rPr>
            <b/>
            <sz val="9"/>
            <color indexed="81"/>
            <rFont val="Segoe UI"/>
            <family val="2"/>
          </rPr>
          <t>Meta da Programação</t>
        </r>
      </text>
    </comment>
    <comment ref="E30" authorId="0" shapeId="0">
      <text>
        <r>
          <rPr>
            <b/>
            <sz val="9"/>
            <color indexed="81"/>
            <rFont val="Segoe UI"/>
            <family val="2"/>
          </rPr>
          <t>Meta da Programação</t>
        </r>
      </text>
    </comment>
    <comment ref="E35" authorId="0" shapeId="0">
      <text>
        <r>
          <rPr>
            <b/>
            <sz val="9"/>
            <color indexed="81"/>
            <rFont val="Segoe UI"/>
            <family val="2"/>
          </rPr>
          <t>Meta da Programação</t>
        </r>
      </text>
    </comment>
    <comment ref="E42" authorId="0" shapeId="0">
      <text>
        <r>
          <rPr>
            <b/>
            <sz val="9"/>
            <color indexed="81"/>
            <rFont val="Segoe UI"/>
            <family val="2"/>
          </rPr>
          <t>Meta da Programação</t>
        </r>
      </text>
    </comment>
    <comment ref="E45" authorId="0" shapeId="0">
      <text>
        <r>
          <rPr>
            <b/>
            <sz val="9"/>
            <color indexed="81"/>
            <rFont val="Segoe UI"/>
            <family val="2"/>
          </rPr>
          <t>Meta da Programação</t>
        </r>
      </text>
    </comment>
    <comment ref="E51" authorId="0" shapeId="0">
      <text>
        <r>
          <rPr>
            <b/>
            <sz val="9"/>
            <color indexed="81"/>
            <rFont val="Segoe UI"/>
            <family val="2"/>
          </rPr>
          <t>Meta da Programação</t>
        </r>
      </text>
    </comment>
    <comment ref="E58" authorId="0" shapeId="0">
      <text>
        <r>
          <rPr>
            <b/>
            <sz val="9"/>
            <color indexed="81"/>
            <rFont val="Segoe UI"/>
            <family val="2"/>
          </rPr>
          <t>Meta da Programação</t>
        </r>
      </text>
    </comment>
    <comment ref="E64" authorId="0" shapeId="0">
      <text>
        <r>
          <rPr>
            <b/>
            <sz val="9"/>
            <color indexed="81"/>
            <rFont val="Segoe UI"/>
            <family val="2"/>
          </rPr>
          <t>Meta da Programação</t>
        </r>
      </text>
    </comment>
    <comment ref="E69" authorId="0" shapeId="0">
      <text>
        <r>
          <rPr>
            <b/>
            <sz val="9"/>
            <color indexed="81"/>
            <rFont val="Segoe UI"/>
            <family val="2"/>
          </rPr>
          <t>Meta da Programação</t>
        </r>
      </text>
    </comment>
    <comment ref="E72" authorId="0" shapeId="0">
      <text>
        <r>
          <rPr>
            <b/>
            <sz val="9"/>
            <color indexed="81"/>
            <rFont val="Segoe UI"/>
            <family val="2"/>
          </rPr>
          <t>Meta da Programação</t>
        </r>
      </text>
    </comment>
    <comment ref="E83" authorId="0" shapeId="0">
      <text>
        <r>
          <rPr>
            <b/>
            <sz val="9"/>
            <color indexed="81"/>
            <rFont val="Segoe UI"/>
            <family val="2"/>
          </rPr>
          <t>Meta da Programação</t>
        </r>
      </text>
    </comment>
    <comment ref="E86" authorId="0" shapeId="0">
      <text>
        <r>
          <rPr>
            <b/>
            <sz val="9"/>
            <color indexed="81"/>
            <rFont val="Segoe UI"/>
            <family val="2"/>
          </rPr>
          <t>Meta da Programação</t>
        </r>
      </text>
    </comment>
    <comment ref="E89" authorId="0" shapeId="0">
      <text>
        <r>
          <rPr>
            <b/>
            <sz val="9"/>
            <color indexed="81"/>
            <rFont val="Segoe UI"/>
            <family val="2"/>
          </rPr>
          <t>Meta da Programação</t>
        </r>
      </text>
    </comment>
    <comment ref="E92" authorId="0" shapeId="0">
      <text>
        <r>
          <rPr>
            <b/>
            <sz val="9"/>
            <color indexed="81"/>
            <rFont val="Segoe UI"/>
            <family val="2"/>
          </rPr>
          <t>Meta da Programação</t>
        </r>
      </text>
    </comment>
  </commentList>
</comments>
</file>

<file path=xl/comments20.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1.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2.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3.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4.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5.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6.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7.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8.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3.xml><?xml version="1.0" encoding="utf-8"?>
<comments xmlns="http://schemas.openxmlformats.org/spreadsheetml/2006/main">
  <authors>
    <author>Gustavo Milhomem Brito Menezes</author>
    <author>Flavia Rios Costa</author>
    <author>Tania Mara Chaves Daldegan</author>
  </authors>
  <commentList>
    <comment ref="A7" authorId="0" shapeId="0">
      <text>
        <r>
          <rPr>
            <b/>
            <sz val="12"/>
            <color indexed="81"/>
            <rFont val="Tahoma"/>
            <family val="2"/>
          </rPr>
          <t>Área ou setor responsável pela Atividade ou Projeto</t>
        </r>
        <r>
          <rPr>
            <sz val="9"/>
            <color indexed="81"/>
            <rFont val="Tahoma"/>
            <family val="2"/>
          </rPr>
          <t xml:space="preserve">
</t>
        </r>
      </text>
    </comment>
    <comment ref="B7" authorId="0" shapeId="0">
      <text>
        <r>
          <rPr>
            <b/>
            <sz val="12"/>
            <color indexed="81"/>
            <rFont val="Tahoma"/>
            <family val="2"/>
          </rPr>
          <t xml:space="preserve">P= Projeto                        A= Atividade </t>
        </r>
        <r>
          <rPr>
            <sz val="9"/>
            <color indexed="81"/>
            <rFont val="Tahoma"/>
            <family val="2"/>
          </rPr>
          <t xml:space="preserve">
</t>
        </r>
      </text>
    </comment>
    <comment ref="C7" authorId="1" shapeId="0">
      <text>
        <r>
          <rPr>
            <sz val="12"/>
            <color indexed="81"/>
            <rFont val="Tahoma"/>
            <family val="2"/>
          </rPr>
          <t xml:space="preserve">AT= Projeto ou Atividade Atual ( já existente no Plano de Ação 2018)                             
N= Projeto ou Atividade Nova (não existente no Plano de Ação 2018)
R= Projeto ou Atividade Reformulada (alterada)
E= Projeto ou Atividade Excluída
C= Projeto concluído
PE= Projeto Específico 
</t>
        </r>
      </text>
    </comment>
    <comment ref="D7" authorId="0" shapeId="0">
      <text>
        <r>
          <rPr>
            <b/>
            <sz val="12"/>
            <color indexed="81"/>
            <rFont val="Tahoma"/>
            <family val="2"/>
          </rPr>
          <t>Para os CAU Básicos, quando houver utilização do Fundo de Apoio selecionar com o X</t>
        </r>
      </text>
    </comment>
    <comment ref="E7" authorId="0" shapeId="0">
      <text>
        <r>
          <rPr>
            <b/>
            <sz val="12"/>
            <color indexed="81"/>
            <rFont val="Tahoma"/>
            <family val="2"/>
          </rPr>
          <t>Nome do Projeto ou Atividade do Plano de Ação 2018, conforme descritivo no Anexo 1.4</t>
        </r>
        <r>
          <rPr>
            <sz val="12"/>
            <color indexed="81"/>
            <rFont val="Tahoma"/>
            <family val="2"/>
          </rPr>
          <t xml:space="preserve">
</t>
        </r>
      </text>
    </comment>
    <comment ref="F7" authorId="0" shapeId="0">
      <text>
        <r>
          <rPr>
            <b/>
            <sz val="12"/>
            <color indexed="81"/>
            <rFont val="Tahoma"/>
            <family val="2"/>
          </rPr>
          <t xml:space="preserve">
É a motivação geral e a síntese dos efeitos que se deseja produzir.</t>
        </r>
        <r>
          <rPr>
            <sz val="9"/>
            <color indexed="81"/>
            <rFont val="Tahoma"/>
            <family val="2"/>
          </rPr>
          <t xml:space="preserve">
</t>
        </r>
      </text>
    </comment>
    <comment ref="G7" authorId="0" shapeId="0">
      <text>
        <r>
          <rPr>
            <b/>
            <sz val="12"/>
            <color indexed="81"/>
            <rFont val="Tahoma"/>
            <family val="2"/>
          </rPr>
          <t xml:space="preserve">Selecionar uma das opções nas células abaixo que estão de acordo com os objetivos estratégicos do Mapa Estratégico no âmbito das pespectivas de </t>
        </r>
        <r>
          <rPr>
            <b/>
            <sz val="12"/>
            <color indexed="10"/>
            <rFont val="Tahoma"/>
            <family val="2"/>
          </rPr>
          <t>Processos Internos, Alavancadores e Pessoas e Infraestrutura.</t>
        </r>
        <r>
          <rPr>
            <b/>
            <sz val="12"/>
            <color indexed="81"/>
            <rFont val="Tahoma"/>
            <family val="2"/>
          </rPr>
          <t xml:space="preserve">
</t>
        </r>
        <r>
          <rPr>
            <sz val="12"/>
            <color indexed="81"/>
            <rFont val="Tahoma"/>
            <family val="2"/>
          </rPr>
          <t xml:space="preserve">
</t>
        </r>
      </text>
    </comment>
    <comment ref="H7" authorId="0" shapeId="0">
      <text>
        <r>
          <rPr>
            <b/>
            <sz val="12"/>
            <color indexed="81"/>
            <rFont val="Tahoma"/>
            <family val="2"/>
          </rPr>
          <t xml:space="preserve">São os efeitos que devem ser produzidos com a execução do projeto, dentro do seu horizonte do tempo. Refletem o objetivo geral do projeto e representam o seu desdobramento em metas mensuráveis. Resultado = Transformação + Indicador + Meta + Prazo, conforme descritivo no Anexo 1.4
</t>
        </r>
        <r>
          <rPr>
            <sz val="12"/>
            <color indexed="81"/>
            <rFont val="Tahoma"/>
            <family val="2"/>
          </rPr>
          <t xml:space="preserve">
</t>
        </r>
      </text>
    </comment>
    <comment ref="I7" authorId="0" shapeId="0">
      <text>
        <r>
          <rPr>
            <b/>
            <sz val="12"/>
            <color indexed="81"/>
            <rFont val="Tahoma"/>
            <family val="2"/>
          </rPr>
          <t xml:space="preserve">Os valores devem ser iguais do Plano de Ação da Programação 2017 aprovado. Caso tenha feito a Reprogramação 2017 considerar os valores aprovados da Reprogramação 2017. 
</t>
        </r>
        <r>
          <rPr>
            <sz val="12"/>
            <color indexed="81"/>
            <rFont val="Tahoma"/>
            <family val="2"/>
          </rPr>
          <t xml:space="preserve">
</t>
        </r>
      </text>
    </comment>
    <comment ref="J7" authorId="0" shapeId="0">
      <text>
        <r>
          <rPr>
            <b/>
            <sz val="12"/>
            <color indexed="81"/>
            <rFont val="Tahoma"/>
            <family val="2"/>
          </rPr>
          <t xml:space="preserve">Valores  dos Projetos/Atividades do Plano de Ação 2018, conforme descritivo no Anexo 1.4
</t>
        </r>
      </text>
    </comment>
    <comment ref="J8" authorId="2" shapeId="0">
      <text>
        <r>
          <rPr>
            <b/>
            <sz val="10"/>
            <color indexed="81"/>
            <rFont val="Segoe UI"/>
            <family val="2"/>
          </rPr>
          <t xml:space="preserve">Os valores serão retirados do SISCONT.NET no dia do dia do corte. Informar a data de corte no campo da justificativa. </t>
        </r>
        <r>
          <rPr>
            <b/>
            <sz val="9"/>
            <color indexed="81"/>
            <rFont val="Segoe UI"/>
            <family val="2"/>
          </rPr>
          <t xml:space="preserve">
</t>
        </r>
        <r>
          <rPr>
            <sz val="9"/>
            <color indexed="81"/>
            <rFont val="Segoe UI"/>
            <family val="2"/>
          </rPr>
          <t xml:space="preserve">
</t>
        </r>
      </text>
    </comment>
    <comment ref="M8" authorId="0" shapeId="0">
      <text>
        <r>
          <rPr>
            <b/>
            <sz val="12"/>
            <color indexed="81"/>
            <rFont val="Tahoma"/>
            <family val="2"/>
          </rPr>
          <t xml:space="preserve">Para os CAU Básicos : Valores do Fundo de Apoio distribuídos por Projeto/Atividade. Vale a ressalva que a Atividade do CSC deve ser pago "obrigatoriamente" com o Fundo de Apoio. Não utilizar em despesa de capital.
</t>
        </r>
        <r>
          <rPr>
            <sz val="9"/>
            <color indexed="81"/>
            <rFont val="Tahoma"/>
            <family val="2"/>
          </rPr>
          <t xml:space="preserve">
</t>
        </r>
      </text>
    </comment>
  </commentList>
</comments>
</file>

<file path=xl/comments4.xml><?xml version="1.0" encoding="utf-8"?>
<comments xmlns="http://schemas.openxmlformats.org/spreadsheetml/2006/main">
  <authors>
    <author>Gustavo Milhomem Brito Menezes</author>
    <author>Tania Mara Chaves Daldegan</author>
  </authors>
  <commentList>
    <comment ref="B7" authorId="0" shapeId="0">
      <text>
        <r>
          <rPr>
            <b/>
            <sz val="11"/>
            <color indexed="81"/>
            <rFont val="Tahoma"/>
            <family val="2"/>
          </rPr>
          <t xml:space="preserve">Vinculada as Receitas de Arrecadação do Anexo 1.1 - Usos e Fonte excluídos os valores das anuidades de exercícios anteriores
</t>
        </r>
        <r>
          <rPr>
            <sz val="11"/>
            <color indexed="81"/>
            <rFont val="Tahoma"/>
            <family val="2"/>
          </rPr>
          <t xml:space="preserve">
</t>
        </r>
      </text>
    </comment>
    <comment ref="B8" authorId="0" shapeId="0">
      <text>
        <r>
          <rPr>
            <b/>
            <sz val="9"/>
            <color indexed="81"/>
            <rFont val="Tahoma"/>
            <family val="2"/>
          </rPr>
          <t>Apenas para os Cau Básicos. O valor total deve ser igual do que consta nas Diretrizes da Programação 2017.</t>
        </r>
        <r>
          <rPr>
            <sz val="9"/>
            <color indexed="81"/>
            <rFont val="Tahoma"/>
            <family val="2"/>
          </rPr>
          <t xml:space="preserve">
</t>
        </r>
      </text>
    </comment>
    <comment ref="M8" authorId="1" shapeId="0">
      <text>
        <r>
          <rPr>
            <b/>
            <sz val="9"/>
            <color indexed="81"/>
            <rFont val="Tahoma"/>
            <family val="2"/>
          </rPr>
          <t>Detalhar o valor no campo das justificativas</t>
        </r>
        <r>
          <rPr>
            <sz val="9"/>
            <color indexed="81"/>
            <rFont val="Tahoma"/>
            <family val="2"/>
          </rPr>
          <t xml:space="preserve">
</t>
        </r>
      </text>
    </comment>
    <comment ref="B9" authorId="0" shapeId="0">
      <text>
        <r>
          <rPr>
            <b/>
            <sz val="9"/>
            <color indexed="81"/>
            <rFont val="Tahoma"/>
            <family val="2"/>
          </rPr>
          <t>= Receita de Arrecadação + Recurso do Fundo de Apoio</t>
        </r>
        <r>
          <rPr>
            <sz val="9"/>
            <color indexed="81"/>
            <rFont val="Tahoma"/>
            <family val="2"/>
          </rPr>
          <t xml:space="preserve">
</t>
        </r>
      </text>
    </comment>
    <comment ref="B10" authorId="0" shapeId="0">
      <text>
        <r>
          <rPr>
            <b/>
            <sz val="9"/>
            <color indexed="81"/>
            <rFont val="Tahoma"/>
            <family val="2"/>
          </rPr>
          <t>Vinculada as Receitas de Arrecadação do Anexo 1.1 - Usos e Fontes</t>
        </r>
      </text>
    </comment>
    <comment ref="B11" authorId="0" shapeId="0">
      <text>
        <r>
          <rPr>
            <b/>
            <sz val="9"/>
            <color indexed="81"/>
            <rFont val="Tahoma"/>
            <family val="2"/>
          </rPr>
          <t>RAL= Receita de Arrecadação + Fundo de Apoio (apenas CAU Básicos) - Aportes ( CSC + FA)</t>
        </r>
      </text>
    </comment>
    <comment ref="F14" authorId="1" shapeId="0">
      <text>
        <r>
          <rPr>
            <b/>
            <sz val="9"/>
            <color indexed="81"/>
            <rFont val="Segoe UI"/>
            <family val="2"/>
          </rPr>
          <t>É percentual (%)</t>
        </r>
        <r>
          <rPr>
            <sz val="9"/>
            <color indexed="81"/>
            <rFont val="Segoe UI"/>
            <family val="2"/>
          </rPr>
          <t xml:space="preserve">
</t>
        </r>
      </text>
    </comment>
    <comment ref="F15" authorId="1" shapeId="0">
      <text>
        <r>
          <rPr>
            <b/>
            <sz val="9"/>
            <color indexed="81"/>
            <rFont val="Segoe UI"/>
            <family val="2"/>
          </rPr>
          <t>É ponto percentual (pp)</t>
        </r>
        <r>
          <rPr>
            <sz val="9"/>
            <color indexed="81"/>
            <rFont val="Segoe UI"/>
            <family val="2"/>
          </rPr>
          <t xml:space="preserve">
</t>
        </r>
      </text>
    </comment>
    <comment ref="F16" authorId="1" shapeId="0">
      <text>
        <r>
          <rPr>
            <b/>
            <sz val="9"/>
            <color indexed="81"/>
            <rFont val="Segoe UI"/>
            <family val="2"/>
          </rPr>
          <t>É percentual (%)</t>
        </r>
        <r>
          <rPr>
            <sz val="9"/>
            <color indexed="81"/>
            <rFont val="Segoe UI"/>
            <family val="2"/>
          </rPr>
          <t xml:space="preserve">
</t>
        </r>
      </text>
    </comment>
    <comment ref="F17" authorId="1" shapeId="0">
      <text>
        <r>
          <rPr>
            <b/>
            <sz val="9"/>
            <color indexed="81"/>
            <rFont val="Segoe UI"/>
            <family val="2"/>
          </rPr>
          <t>É ponto percentual (pp)</t>
        </r>
        <r>
          <rPr>
            <sz val="9"/>
            <color indexed="81"/>
            <rFont val="Segoe UI"/>
            <family val="2"/>
          </rPr>
          <t xml:space="preserve">
</t>
        </r>
      </text>
    </comment>
    <comment ref="F18" authorId="1" shapeId="0">
      <text>
        <r>
          <rPr>
            <b/>
            <sz val="9"/>
            <color indexed="81"/>
            <rFont val="Segoe UI"/>
            <family val="2"/>
          </rPr>
          <t>É percentual (%)</t>
        </r>
        <r>
          <rPr>
            <sz val="9"/>
            <color indexed="81"/>
            <rFont val="Segoe UI"/>
            <family val="2"/>
          </rPr>
          <t xml:space="preserve">
</t>
        </r>
      </text>
    </comment>
    <comment ref="F19" authorId="1" shapeId="0">
      <text>
        <r>
          <rPr>
            <b/>
            <sz val="9"/>
            <color indexed="81"/>
            <rFont val="Segoe UI"/>
            <family val="2"/>
          </rPr>
          <t>É ponto percentual (pp)</t>
        </r>
        <r>
          <rPr>
            <sz val="9"/>
            <color indexed="81"/>
            <rFont val="Segoe UI"/>
            <family val="2"/>
          </rPr>
          <t xml:space="preserve">
</t>
        </r>
      </text>
    </comment>
    <comment ref="F20" authorId="1" shapeId="0">
      <text>
        <r>
          <rPr>
            <b/>
            <sz val="9"/>
            <color indexed="81"/>
            <rFont val="Segoe UI"/>
            <family val="2"/>
          </rPr>
          <t>É percentual (%)</t>
        </r>
        <r>
          <rPr>
            <sz val="9"/>
            <color indexed="81"/>
            <rFont val="Segoe UI"/>
            <family val="2"/>
          </rPr>
          <t xml:space="preserve">
</t>
        </r>
      </text>
    </comment>
    <comment ref="F21" authorId="1" shapeId="0">
      <text>
        <r>
          <rPr>
            <b/>
            <sz val="9"/>
            <color indexed="81"/>
            <rFont val="Segoe UI"/>
            <family val="2"/>
          </rPr>
          <t>É ponto percentual (pp)</t>
        </r>
        <r>
          <rPr>
            <sz val="9"/>
            <color indexed="81"/>
            <rFont val="Segoe UI"/>
            <family val="2"/>
          </rPr>
          <t xml:space="preserve">
</t>
        </r>
      </text>
    </comment>
    <comment ref="F22" authorId="1" shapeId="0">
      <text>
        <r>
          <rPr>
            <b/>
            <sz val="9"/>
            <color indexed="81"/>
            <rFont val="Segoe UI"/>
            <family val="2"/>
          </rPr>
          <t>É percentual (%)</t>
        </r>
        <r>
          <rPr>
            <sz val="9"/>
            <color indexed="81"/>
            <rFont val="Segoe UI"/>
            <family val="2"/>
          </rPr>
          <t xml:space="preserve">
</t>
        </r>
      </text>
    </comment>
    <comment ref="F23" authorId="1" shapeId="0">
      <text>
        <r>
          <rPr>
            <b/>
            <sz val="9"/>
            <color indexed="81"/>
            <rFont val="Segoe UI"/>
            <family val="2"/>
          </rPr>
          <t>É ponto percentual (pp)</t>
        </r>
        <r>
          <rPr>
            <sz val="9"/>
            <color indexed="81"/>
            <rFont val="Segoe UI"/>
            <family val="2"/>
          </rPr>
          <t xml:space="preserve">
</t>
        </r>
      </text>
    </comment>
    <comment ref="F24" authorId="1" shapeId="0">
      <text>
        <r>
          <rPr>
            <b/>
            <sz val="9"/>
            <color indexed="81"/>
            <rFont val="Segoe UI"/>
            <family val="2"/>
          </rPr>
          <t>É percentual (%)</t>
        </r>
        <r>
          <rPr>
            <sz val="9"/>
            <color indexed="81"/>
            <rFont val="Segoe UI"/>
            <family val="2"/>
          </rPr>
          <t xml:space="preserve">
</t>
        </r>
      </text>
    </comment>
    <comment ref="F25" authorId="1" shapeId="0">
      <text>
        <r>
          <rPr>
            <b/>
            <sz val="9"/>
            <color indexed="81"/>
            <rFont val="Segoe UI"/>
            <family val="2"/>
          </rPr>
          <t>É ponto percentual (pp)</t>
        </r>
        <r>
          <rPr>
            <sz val="9"/>
            <color indexed="81"/>
            <rFont val="Segoe UI"/>
            <family val="2"/>
          </rPr>
          <t xml:space="preserve">
</t>
        </r>
      </text>
    </comment>
    <comment ref="F26" authorId="1" shapeId="0">
      <text>
        <r>
          <rPr>
            <b/>
            <sz val="9"/>
            <color indexed="81"/>
            <rFont val="Segoe UI"/>
            <family val="2"/>
          </rPr>
          <t>É percentual (%)</t>
        </r>
        <r>
          <rPr>
            <sz val="9"/>
            <color indexed="81"/>
            <rFont val="Segoe UI"/>
            <family val="2"/>
          </rPr>
          <t xml:space="preserve">
</t>
        </r>
      </text>
    </comment>
    <comment ref="F27" authorId="1" shapeId="0">
      <text>
        <r>
          <rPr>
            <b/>
            <sz val="9"/>
            <color indexed="81"/>
            <rFont val="Segoe UI"/>
            <family val="2"/>
          </rPr>
          <t>É ponto percentual (pp)</t>
        </r>
        <r>
          <rPr>
            <sz val="9"/>
            <color indexed="81"/>
            <rFont val="Segoe UI"/>
            <family val="2"/>
          </rPr>
          <t xml:space="preserve">
</t>
        </r>
      </text>
    </comment>
  </commentList>
</comments>
</file>

<file path=xl/comments5.xml><?xml version="1.0" encoding="utf-8"?>
<comments xmlns="http://schemas.openxmlformats.org/spreadsheetml/2006/main">
  <authors>
    <author>Gustavo Milhomem Brito Menezes</author>
    <author>Flavia Rios Costa</author>
    <author>Tania Mara Chaves Daldegan</author>
  </authors>
  <commentList>
    <comment ref="B8" authorId="0" shapeId="0">
      <text>
        <r>
          <rPr>
            <b/>
            <sz val="9"/>
            <color indexed="81"/>
            <rFont val="Tahoma"/>
            <family val="2"/>
          </rPr>
          <t xml:space="preserve">Os valores devem ser iguais do Plano de Ação da Programação 2017 aprovado. Caso tenha feito a Reprogramação 2017 considerar os valores aprovados da Reprogramação 2017. </t>
        </r>
      </text>
    </comment>
    <comment ref="C9" authorId="0" shapeId="0">
      <text>
        <r>
          <rPr>
            <b/>
            <sz val="9"/>
            <color indexed="81"/>
            <rFont val="Tahoma"/>
            <family val="2"/>
          </rPr>
          <t>Valores de acordo com a execução orçamentária conforme  o sistema utilizado- Siscont.Net</t>
        </r>
      </text>
    </comment>
    <comment ref="D9" authorId="0" shapeId="0">
      <text>
        <r>
          <rPr>
            <b/>
            <sz val="9"/>
            <color indexed="81"/>
            <rFont val="Tahoma"/>
            <family val="2"/>
          </rPr>
          <t>De acordo com as ações e metas a serem executados em 2018.</t>
        </r>
      </text>
    </comment>
    <comment ref="E9" authorId="0" shapeId="0">
      <text>
        <r>
          <rPr>
            <b/>
            <sz val="9"/>
            <color indexed="81"/>
            <rFont val="Tahoma"/>
            <family val="2"/>
          </rPr>
          <t xml:space="preserve">Observar os valores que estão nas Diretrizes da Programação 2018
</t>
        </r>
        <r>
          <rPr>
            <sz val="9"/>
            <color indexed="81"/>
            <rFont val="Tahoma"/>
            <family val="2"/>
          </rPr>
          <t xml:space="preserve">
</t>
        </r>
      </text>
    </comment>
    <comment ref="A14" authorId="1" shapeId="0">
      <text>
        <r>
          <rPr>
            <b/>
            <sz val="10"/>
            <color indexed="81"/>
            <rFont val="Tahoma"/>
            <family val="2"/>
          </rPr>
          <t>Somar os valores do exercício atual e exercícios anteriores.</t>
        </r>
      </text>
    </comment>
    <comment ref="A17" authorId="1" shapeId="0">
      <text>
        <r>
          <rPr>
            <b/>
            <sz val="10"/>
            <color indexed="81"/>
            <rFont val="Tahoma"/>
            <family val="2"/>
          </rPr>
          <t>Somar os valores do exercício atual e exercícios anteriores.</t>
        </r>
        <r>
          <rPr>
            <sz val="9"/>
            <color indexed="81"/>
            <rFont val="Tahoma"/>
            <family val="2"/>
          </rPr>
          <t xml:space="preserve">
</t>
        </r>
      </text>
    </comment>
    <comment ref="A21" authorId="1" shapeId="0">
      <text>
        <r>
          <rPr>
            <b/>
            <sz val="10"/>
            <color indexed="81"/>
            <rFont val="Tahoma"/>
            <family val="2"/>
          </rPr>
          <t>Considerar taxas e multas todos os valores relacionados com: Taxa Expediente RRT extemporâneo; Taxa Selic; Documento de fiscalização; Multa e mora de anuidades; Certidão de acervo técnico com atestado; Registro de direito autoral; Multa ética; Multa ausência na eleição, conforme informações do Siccau/Siscont.net.</t>
        </r>
        <r>
          <rPr>
            <sz val="9"/>
            <color indexed="81"/>
            <rFont val="Tahoma"/>
            <family val="2"/>
          </rPr>
          <t xml:space="preserve">
</t>
        </r>
      </text>
    </comment>
    <comment ref="A34" authorId="1" shapeId="0">
      <text>
        <r>
          <rPr>
            <b/>
            <sz val="11"/>
            <color indexed="81"/>
            <rFont val="Tahoma"/>
            <family val="2"/>
          </rPr>
          <t>Valor do APORTE DO CSC +  FUNDO DE RESERVA DO CSC.</t>
        </r>
        <r>
          <rPr>
            <sz val="9"/>
            <color indexed="81"/>
            <rFont val="Tahoma"/>
            <family val="2"/>
          </rPr>
          <t xml:space="preserve">
</t>
        </r>
      </text>
    </comment>
    <comment ref="F41" authorId="2" shapeId="0">
      <text>
        <r>
          <rPr>
            <b/>
            <sz val="9"/>
            <color indexed="81"/>
            <rFont val="Segoe UI"/>
            <family val="2"/>
          </rPr>
          <t>Valores conforme o anexo 1.3 da Programação 2019</t>
        </r>
      </text>
    </comment>
  </commentList>
</comments>
</file>

<file path=xl/comments6.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7.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8.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9.xml><?xml version="1.0" encoding="utf-8"?>
<comments xmlns="http://schemas.openxmlformats.org/spreadsheetml/2006/main">
  <authors>
    <author>Flavia Rios Costa</author>
    <author>Tania Mara Chaves Daldegan</author>
  </authors>
  <commentList>
    <comment ref="A7" authorId="0" shapeId="0">
      <text>
        <r>
          <rPr>
            <sz val="13"/>
            <color indexed="81"/>
            <rFont val="Tahoma"/>
            <family val="2"/>
          </rPr>
          <t xml:space="preserve">
</t>
        </r>
        <r>
          <rPr>
            <b/>
            <sz val="13"/>
            <color indexed="81"/>
            <rFont val="Tahoma"/>
            <family val="2"/>
          </rPr>
          <t>Área ou setor responsável pela Atividade ou Projeto</t>
        </r>
      </text>
    </comment>
    <comment ref="A10" authorId="0" shapeId="0">
      <text>
        <r>
          <rPr>
            <b/>
            <sz val="12"/>
            <color indexed="81"/>
            <rFont val="Tahoma"/>
            <family val="2"/>
          </rPr>
          <t>Nome do Projeto ou Atividade do Plano de Ação 2017</t>
        </r>
        <r>
          <rPr>
            <sz val="9"/>
            <color indexed="81"/>
            <rFont val="Tahoma"/>
            <family val="2"/>
          </rPr>
          <t xml:space="preserve">
</t>
        </r>
      </text>
    </comment>
    <comment ref="A11" authorId="0" shapeId="0">
      <text>
        <r>
          <rPr>
            <b/>
            <sz val="12"/>
            <color indexed="81"/>
            <rFont val="Tahoma"/>
            <family val="2"/>
          </rPr>
          <t xml:space="preserve">É a motivação geral e a síntese dos efeitos que se deseja produzir.
</t>
        </r>
      </text>
    </comment>
    <comment ref="A12"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3"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5" authorId="1" shapeId="0">
      <text>
        <r>
          <rPr>
            <sz val="16"/>
            <color indexed="81"/>
            <rFont val="Segoe UI"/>
            <family val="2"/>
          </rPr>
          <t>AT= Ação atual (já existente no Plano de Ação 2019)                             
N= Ação nova (não existente no Plano de Ação 2019)
R= Ação  reformulada (alterada)
E=Ação  excluída
C= Ação concluída</t>
        </r>
        <r>
          <rPr>
            <sz val="12"/>
            <color indexed="81"/>
            <rFont val="Segoe UI"/>
            <family val="2"/>
          </rPr>
          <t xml:space="preserve">
</t>
        </r>
      </text>
    </comment>
    <comment ref="F15" authorId="0" shapeId="0">
      <text>
        <r>
          <rPr>
            <b/>
            <sz val="12"/>
            <color indexed="81"/>
            <rFont val="Tahoma"/>
            <family val="2"/>
          </rPr>
          <t>Corresponde ao tempo de duração da ação.</t>
        </r>
        <r>
          <rPr>
            <sz val="9"/>
            <color indexed="81"/>
            <rFont val="Tahoma"/>
            <family val="2"/>
          </rPr>
          <t xml:space="preserve">
</t>
        </r>
      </text>
    </comment>
    <comment ref="O15" authorId="1" shapeId="0">
      <text>
        <r>
          <rPr>
            <b/>
            <sz val="22"/>
            <color indexed="81"/>
            <rFont val="Segoe UI"/>
            <family val="2"/>
          </rPr>
          <t>Informe se a despesas é corrente ou capital.</t>
        </r>
      </text>
    </comment>
    <comment ref="P15" authorId="1" shapeId="0">
      <text>
        <r>
          <rPr>
            <b/>
            <sz val="14"/>
            <color indexed="81"/>
            <rFont val="Segoe UI"/>
            <family val="2"/>
          </rPr>
          <t>Apenas para CAU Básicos</t>
        </r>
        <r>
          <rPr>
            <sz val="9"/>
            <color indexed="81"/>
            <rFont val="Segoe UI"/>
            <family val="2"/>
          </rPr>
          <t xml:space="preserve">
</t>
        </r>
      </text>
    </comment>
    <comment ref="R15" authorId="0" shapeId="0">
      <text>
        <r>
          <rPr>
            <b/>
            <sz val="12"/>
            <color indexed="81"/>
            <rFont val="Tahoma"/>
            <family val="2"/>
          </rPr>
          <t>Nome do responsável pela execução da ação.</t>
        </r>
        <r>
          <rPr>
            <sz val="9"/>
            <color indexed="81"/>
            <rFont val="Tahoma"/>
            <family val="2"/>
          </rPr>
          <t xml:space="preserve">
</t>
        </r>
      </text>
    </comment>
    <comment ref="C16" authorId="0" shapeId="0">
      <text>
        <r>
          <rPr>
            <b/>
            <sz val="18"/>
            <color indexed="81"/>
            <rFont val="Tahoma"/>
            <family val="2"/>
          </rPr>
          <t xml:space="preserve">Ações são iniciativas específicas que devem ser executadas dentro de um projeto ou de uma atividade para produzir os resultados esperados.Ação é o que será feito. </t>
        </r>
      </text>
    </comment>
    <comment ref="D16"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H16" authorId="0" shapeId="0">
      <text>
        <r>
          <rPr>
            <b/>
            <sz val="22"/>
            <color indexed="81"/>
            <rFont val="Tahoma"/>
            <family val="2"/>
          </rPr>
          <t>Valores Previstos no Plano de Ação 2019 ou na Reprogramação Extraordinária de 2019.</t>
        </r>
        <r>
          <rPr>
            <sz val="22"/>
            <color indexed="81"/>
            <rFont val="Tahoma"/>
            <family val="2"/>
          </rPr>
          <t xml:space="preserve">
</t>
        </r>
      </text>
    </comment>
    <comment ref="Q16" authorId="1" shapeId="0">
      <text>
        <r>
          <rPr>
            <b/>
            <sz val="16"/>
            <color indexed="81"/>
            <rFont val="Segoe UI"/>
            <family val="2"/>
          </rPr>
          <t>Não considerar o valor da despesa de capital no cálculo do percentual.</t>
        </r>
        <r>
          <rPr>
            <sz val="9"/>
            <color indexed="81"/>
            <rFont val="Segoe UI"/>
            <family val="2"/>
          </rPr>
          <t xml:space="preserve">
</t>
        </r>
      </text>
    </comment>
    <comment ref="D17" authorId="1" shapeId="0">
      <text>
        <r>
          <rPr>
            <b/>
            <sz val="14"/>
            <color indexed="81"/>
            <rFont val="Segoe UI"/>
            <family val="2"/>
          </rPr>
          <t>Quantidade prevista da meta</t>
        </r>
      </text>
    </comment>
    <comment ref="E17" authorId="1" shapeId="0">
      <text>
        <r>
          <rPr>
            <b/>
            <sz val="16"/>
            <color indexed="81"/>
            <rFont val="Segoe UI"/>
            <family val="2"/>
          </rPr>
          <t>Descrição textual detalhada da meta relativa à ação.</t>
        </r>
        <r>
          <rPr>
            <b/>
            <sz val="12"/>
            <color indexed="81"/>
            <rFont val="Segoe UI"/>
            <family val="2"/>
          </rPr>
          <t xml:space="preserve">
</t>
        </r>
      </text>
    </comment>
    <comment ref="I17"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sharedStrings.xml><?xml version="1.0" encoding="utf-8"?>
<sst xmlns="http://schemas.openxmlformats.org/spreadsheetml/2006/main" count="2520" uniqueCount="775">
  <si>
    <t>Início:</t>
  </si>
  <si>
    <t>Término:</t>
  </si>
  <si>
    <t>3.1.1 Custeados com Recursos do Fundo de Apoio</t>
  </si>
  <si>
    <t>Total</t>
  </si>
  <si>
    <t>Ações</t>
  </si>
  <si>
    <t>Período de Execução</t>
  </si>
  <si>
    <t>Início</t>
  </si>
  <si>
    <t>Término</t>
  </si>
  <si>
    <t>Responsável pela Execução</t>
  </si>
  <si>
    <t>Pessoal</t>
  </si>
  <si>
    <t>Imobilizado</t>
  </si>
  <si>
    <t>Variação</t>
  </si>
  <si>
    <t>Legenda: Situação da Ação e Metas</t>
  </si>
  <si>
    <t>Nova</t>
  </si>
  <si>
    <t>Excluída</t>
  </si>
  <si>
    <t>Reformulada</t>
  </si>
  <si>
    <t>(1)</t>
  </si>
  <si>
    <t>(2)</t>
  </si>
  <si>
    <t>(3)</t>
  </si>
  <si>
    <t>(4)</t>
  </si>
  <si>
    <t>Inicial</t>
  </si>
  <si>
    <t>Unidade Responsável</t>
  </si>
  <si>
    <t>Denominação</t>
  </si>
  <si>
    <t>TOTAL</t>
  </si>
  <si>
    <t>Especificação</t>
  </si>
  <si>
    <t>I - FONTES</t>
  </si>
  <si>
    <t>1. Receitas Correntes</t>
  </si>
  <si>
    <t>1.1.1 Anuidades</t>
  </si>
  <si>
    <t>1.1.1.1 Pessoa Física</t>
  </si>
  <si>
    <t>1.1.1.2 Pessoa Jurídica</t>
  </si>
  <si>
    <t>1.2 Aplicações Financeiras</t>
  </si>
  <si>
    <t>1.3 Outras Receitas</t>
  </si>
  <si>
    <t>1.4 Fundo de Apoio</t>
  </si>
  <si>
    <t>2 Receitas de Capital</t>
  </si>
  <si>
    <t>2.1 Saldos de Exercícios Anteriores (Superávit Financeiro)</t>
  </si>
  <si>
    <t xml:space="preserve"> I – TOTAL</t>
  </si>
  <si>
    <t>II. USOS</t>
  </si>
  <si>
    <t>II.1 Programação Operacional</t>
  </si>
  <si>
    <t>Projetos</t>
  </si>
  <si>
    <t>II.2 Aportes ao Fundo de Apoio</t>
  </si>
  <si>
    <t>II – TOTAL</t>
  </si>
  <si>
    <t>VARIAÇÃO (I-II)</t>
  </si>
  <si>
    <t>Valores em R$ 1,00</t>
  </si>
  <si>
    <t xml:space="preserve">Variação                                                      </t>
  </si>
  <si>
    <t>1.1 - Unidade Organizacional/Comissão/Colegiado:</t>
  </si>
  <si>
    <t>1.2 - Coordenador ou Responsável pela Unidade Organizacional/Comissão/Colegiado:</t>
  </si>
  <si>
    <t>1.5 - Objetivo Geral (Projeto/Atividade):</t>
  </si>
  <si>
    <t>1. DADOS TÉCNICOS</t>
  </si>
  <si>
    <t>2. DADOS ESTRATÉGICOS</t>
  </si>
  <si>
    <t>3.1    Custo do Projeto/Atividade:</t>
  </si>
  <si>
    <t>2.2 Outras Receitas</t>
  </si>
  <si>
    <t>II.4 Reserva de Contingência</t>
  </si>
  <si>
    <t>Impactar significativamente o planejamento e a gestão do território</t>
  </si>
  <si>
    <t>Tornar a fiscalização um vetor de melhoria do exercício da Arquitetura e Urbanismo</t>
  </si>
  <si>
    <t>Assegurar a eficácia no atendimento e no relacionamento com os arquitetos e urbanistas e a sociedade</t>
  </si>
  <si>
    <t>Estimular o conhecimento, o uso de processos criativos e a difusão das melhores práticas em Arquitetura e Urbanismo</t>
  </si>
  <si>
    <t>Influenciar as diretrizes do ensino de Arquitetura e Urbanismo e sua formação continuada</t>
  </si>
  <si>
    <t>Índice de aproveitamento das manifestações técnicas do CAU no MEC (CAU BR)</t>
  </si>
  <si>
    <t>Índice de aprovação das Diretrizes Curriculares Nacionais (DCN) propostas pelo CAU ao Conselho Nacional de Ensino (CNE) (CAU BR)</t>
  </si>
  <si>
    <t>Garantir a participação dos arquitetos e urbanistas no planejamento territorial e na gestão urbana</t>
  </si>
  <si>
    <t>Estimular a produção da arquitetura e urbanismo como política de Estado</t>
  </si>
  <si>
    <t>Assegurar a eficácia no relacionamento e comunicação com a sociedade</t>
  </si>
  <si>
    <t>Promover o exercício ético e qualificado da profissão</t>
  </si>
  <si>
    <t>Fomentar o acesso da sociedade à Arquitetura e Urbanismo</t>
  </si>
  <si>
    <t>Assegurar a sustentabilidade financeira</t>
  </si>
  <si>
    <t>Aprimorar e inovar os processos e as ações</t>
  </si>
  <si>
    <t>Desenvolver competências de dirigentes e colaboradores</t>
  </si>
  <si>
    <t>Construir cultura organizacional adequada à estratégia</t>
  </si>
  <si>
    <t>Ter sistemas de informação e infraestrutura que viabilizem a gestão e o atendimento dos arquitetos e urbanistas e a sociedade</t>
  </si>
  <si>
    <t>Perspectivas</t>
  </si>
  <si>
    <t>Sociedade</t>
  </si>
  <si>
    <t>Assegurar a eficácia no atendimento e no relacionamento com os Arquitetos e Urbanistas e a Sociedade</t>
  </si>
  <si>
    <t>Garantir a participação dos Arquitetos e Urbanistas no planejamento territorial e na gestão urbana</t>
  </si>
  <si>
    <t>Estimular a produção da Arquitetura e Urbanismo como política de Estado</t>
  </si>
  <si>
    <t>Indicadores Institucionais e de Resultado (agrupados por objetivo estratégico) - Metas</t>
  </si>
  <si>
    <t>Matriz Objetivos Estratégicos X Projetos</t>
  </si>
  <si>
    <t>Parcial  R$</t>
  </si>
  <si>
    <t>Objetivo Estratégico Principal</t>
  </si>
  <si>
    <t>Pessoas e Infraestrutura</t>
  </si>
  <si>
    <t>Processos Internos</t>
  </si>
  <si>
    <t>Perspectiva</t>
  </si>
  <si>
    <t>2.1 - Objetivos Estratégicos Relacionados / Perspectiva</t>
  </si>
  <si>
    <t>2.1.1 - Objetivo Estratégico Principal</t>
  </si>
  <si>
    <t>2.1.2 - Objetivo Estratégico Secundário</t>
  </si>
  <si>
    <t>2.1.3 - Objetivo Estratégico Secundário</t>
  </si>
  <si>
    <t>2.2 - Resultados:</t>
  </si>
  <si>
    <t>2.3 - Período de Execução:</t>
  </si>
  <si>
    <t>FP</t>
  </si>
  <si>
    <t xml:space="preserve">Variação  </t>
  </si>
  <si>
    <t xml:space="preserve">A custear com Recursos do Fundo de Apoio (R$) </t>
  </si>
  <si>
    <t>P/A</t>
  </si>
  <si>
    <t>3. DADOS ORÇAMENTÁRIOS</t>
  </si>
  <si>
    <t>1.3 - Tipo (Projeto ou Atividade):</t>
  </si>
  <si>
    <t>1.4 - Nome (Denominação do Projeto ou Atividade ):</t>
  </si>
  <si>
    <t>1.6 - Responsável  pelo Projeto ou Atividade:</t>
  </si>
  <si>
    <t>Denominação (Projeto/Atividade)</t>
  </si>
  <si>
    <t>Material de Consumo</t>
  </si>
  <si>
    <t>Serviços de Terceiros</t>
  </si>
  <si>
    <t>Encargos Diversos</t>
  </si>
  <si>
    <t>Soma</t>
  </si>
  <si>
    <t>% Part.</t>
  </si>
  <si>
    <t>Diárias</t>
  </si>
  <si>
    <t>Passagens</t>
  </si>
  <si>
    <t>Serviços Prestados</t>
  </si>
  <si>
    <t>Aluguéis e Encargos</t>
  </si>
  <si>
    <t>Outras Despesas</t>
  </si>
  <si>
    <t>TOTAL GERAL</t>
  </si>
  <si>
    <t>BASE DE CÁLCULO</t>
  </si>
  <si>
    <t>APLICAÇÕES DE RECURSOS</t>
  </si>
  <si>
    <t xml:space="preserve">FOLHA DE PAGAMENTO </t>
  </si>
  <si>
    <t>2. Recursos do fundo de apoio (CAU Básico)</t>
  </si>
  <si>
    <t>Valor</t>
  </si>
  <si>
    <t xml:space="preserve">% </t>
  </si>
  <si>
    <t>Variação (%)</t>
  </si>
  <si>
    <t>LIMITES</t>
  </si>
  <si>
    <t xml:space="preserve">Objetivo Geral </t>
  </si>
  <si>
    <t>LEGENDA: P = PROJETO/ A = ATIVIDADE/ FP = FUNDO DE APOIO</t>
  </si>
  <si>
    <t>CAU/UF:</t>
  </si>
  <si>
    <t>Orientação:  As células sinalizadas, em cinza, são fórmulas e não devem ser modificadas. Preencher apenas os campos em branco.</t>
  </si>
  <si>
    <t>4. COMENTÁRIOS</t>
  </si>
  <si>
    <t>1.1.3 Taxas e Multas</t>
  </si>
  <si>
    <t xml:space="preserve">Fórmula </t>
  </si>
  <si>
    <t xml:space="preserve">Periodicidade </t>
  </si>
  <si>
    <t>B- INDICADORES DE RESULTADO</t>
  </si>
  <si>
    <t>A- INDICADORES INSTITUCIONAIS</t>
  </si>
  <si>
    <t xml:space="preserve">II.3 Aporte ao CSC </t>
  </si>
  <si>
    <t>Atividades</t>
  </si>
  <si>
    <t>Orientação: As células em cinza estão vinculadas com fórmulas, não devem ser preenchidas.</t>
  </si>
  <si>
    <t>B. Valor total das rescisões contratuais, auxílio alimentação, auxílio transporte, plano de saúde e demais benefícios.</t>
  </si>
  <si>
    <t>3. Soma (1+2)</t>
  </si>
  <si>
    <t>C. Receitas Correntes</t>
  </si>
  <si>
    <t>4. Aportes ao Fundo de Apoio</t>
  </si>
  <si>
    <t>Anexo 1.4 - Dados Gerais do Plano de Ação - Reprogramação 2016</t>
  </si>
  <si>
    <t>Obs:  Os anexos 1.4, 1.5 e 1.6 devem ser preenchidos para os projetos/atividades aprovados para 2016, que na proposta de Reprogramação apresentem alterações nas ações, metas e/ou resultados e para os novos projetos/atividades.</t>
  </si>
  <si>
    <t>Unidade Organizacional:</t>
  </si>
  <si>
    <t xml:space="preserve">CAU/UF:  </t>
  </si>
  <si>
    <t>Orientação:  Esta planilha está vinculada ao Quadro Geral. Seu preenchimento ocorre de forma automática. Caso seja necessário aumentar o número de colunas, favor atentar na continuidade das fórmulas.</t>
  </si>
  <si>
    <t>Pessoal e Encargos</t>
  </si>
  <si>
    <t>A. Pessoal e Encargos (Valores totais)</t>
  </si>
  <si>
    <t xml:space="preserve">Inclui os tipos </t>
  </si>
  <si>
    <t xml:space="preserve">Responsável Projeto/Atividade: </t>
  </si>
  <si>
    <t>Denominação do Projeto ou Atividade :</t>
  </si>
  <si>
    <t xml:space="preserve">Objetivo Estratégico Principal : </t>
  </si>
  <si>
    <t>Orientação: As células sinalizadas, em cinza, são fórmulas e não devem ser modificadas. Verificar os comentários colocando o cursor na célula correspondente, no cabeçalho. Caso seja necessário aumentar o número de linhas, favor verificar a continuidade das fórmulas.</t>
  </si>
  <si>
    <t>COMENTÁRIOS/JUSTIFICATIVAS :</t>
  </si>
  <si>
    <t>1. QUADRO GERAL</t>
  </si>
  <si>
    <t xml:space="preserve">2. AVALIAÇÃO GERAL </t>
  </si>
  <si>
    <t>Fundo de Apoio</t>
  </si>
  <si>
    <t>% Utilização do Fundo de Apoio</t>
  </si>
  <si>
    <t>Resultado</t>
  </si>
  <si>
    <t>1.1.3 RRT</t>
  </si>
  <si>
    <t xml:space="preserve">BASE DE CÁLCULO </t>
  </si>
  <si>
    <t xml:space="preserve">Variação </t>
  </si>
  <si>
    <t xml:space="preserve">Tipo (Projeto ou  Atividade): </t>
  </si>
  <si>
    <t>Objetivo Geral :</t>
  </si>
  <si>
    <t xml:space="preserve">Resultado esperado do Projeto/Atividade: </t>
  </si>
  <si>
    <t>Nº</t>
  </si>
  <si>
    <t>Descrição da Ação</t>
  </si>
  <si>
    <t>Custo da Ação (R$)</t>
  </si>
  <si>
    <t>% Partic.
(G)</t>
  </si>
  <si>
    <t>Metas Físicas</t>
  </si>
  <si>
    <t>Quantificação da meta</t>
  </si>
  <si>
    <t>Descrição da meta</t>
  </si>
  <si>
    <t>Obs.: Os Indicadores devem ser vinculados aos objetivos estratégicos priorizados no Mapa Estratégico do CAU/UF, ou seja, os indicadores dos objetivos estratégicos escolhidos no Mapa Estratégico devem ser priorizados.</t>
  </si>
  <si>
    <t xml:space="preserve">CATEGORIA ECONÔMICA </t>
  </si>
  <si>
    <t>Corrente</t>
  </si>
  <si>
    <t xml:space="preserve">Capital </t>
  </si>
  <si>
    <t xml:space="preserve">FONTES </t>
  </si>
  <si>
    <t>USOS</t>
  </si>
  <si>
    <t>Variação % 
(C=B/A)</t>
  </si>
  <si>
    <t>5.  Receita da Arrecadação Líquida (RAL = 3 - 4)</t>
  </si>
  <si>
    <t>Anual</t>
  </si>
  <si>
    <t>Trimestral</t>
  </si>
  <si>
    <t>1.1.1.1.2 Anuidade Exercícios anteriores</t>
  </si>
  <si>
    <t>1.1.1.2.2 Anuidade Exercícios anteriores</t>
  </si>
  <si>
    <t>número de manifestações técnicas aproveitadas pelo 
MEC
           _________________________   x 100
número de manifestações técnicas apresentadas pelo 
CAU ao MEC</t>
  </si>
  <si>
    <t>Trimestal</t>
  </si>
  <si>
    <t>número de propostas de DCN aprovadas pelo 
CNE
           _________________________   x 100
número de propostas de DCN apresentadas pelo CAU 
ao CNE</t>
  </si>
  <si>
    <t>ANEXOS</t>
  </si>
  <si>
    <t>Comentários:</t>
  </si>
  <si>
    <t>Valor da Programação 2019 (R$)</t>
  </si>
  <si>
    <t>Programação 2019</t>
  </si>
  <si>
    <t>1.1.1.1.1 Anuidade 2019</t>
  </si>
  <si>
    <t>1.1.1.2.1 Anuidade 2019</t>
  </si>
  <si>
    <t>Meta 2018</t>
  </si>
  <si>
    <t>Variação % 
(F=E/D)</t>
  </si>
  <si>
    <t>OBS: No item da categoria dos "Usos Correntes", deverão ser considerados os valores dos Aportes ao Fundo de Apoio, ao CSC , e à Reserva de Contingência.</t>
  </si>
  <si>
    <t xml:space="preserve">                               
                                                    Projetos
                                                Estratégicos
   Objetivos
Estratégicos</t>
  </si>
  <si>
    <r>
      <t xml:space="preserve"> Despesas com Pessoal </t>
    </r>
    <r>
      <rPr>
        <b/>
        <sz val="14"/>
        <color indexed="57"/>
        <rFont val="Calibri"/>
        <family val="2"/>
      </rPr>
      <t>(máximo de 55% sobre as Receitas Correntes. Não considerar o valor total das rescisões contratuais, auxílio alimentação, auxílio transporte, plano de saúde e demais benefícios)</t>
    </r>
  </si>
  <si>
    <r>
      <t xml:space="preserve">Atendimento
</t>
    </r>
    <r>
      <rPr>
        <b/>
        <sz val="14"/>
        <color indexed="21"/>
        <rFont val="Calibri"/>
        <family val="2"/>
      </rPr>
      <t>(mínimo de 10 % do total da RAL)</t>
    </r>
  </si>
  <si>
    <r>
      <t>Capacitação</t>
    </r>
    <r>
      <rPr>
        <b/>
        <sz val="14"/>
        <color indexed="10"/>
        <rFont val="Calibri"/>
        <family val="2"/>
      </rPr>
      <t xml:space="preserve"> </t>
    </r>
    <r>
      <rPr>
        <b/>
        <sz val="14"/>
        <color indexed="57"/>
        <rFont val="Calibri"/>
        <family val="2"/>
      </rPr>
      <t xml:space="preserve">(mínimo de 2%  e máximo de 4%  do valor total das respectivas folhas de pagamento -salários, encargos e benefícios)                  </t>
    </r>
  </si>
  <si>
    <r>
      <t xml:space="preserve">Comunicação
</t>
    </r>
    <r>
      <rPr>
        <b/>
        <sz val="14"/>
        <color indexed="21"/>
        <rFont val="Calibri"/>
        <family val="2"/>
      </rPr>
      <t xml:space="preserve">(mínimo de 3% do total da RAL)             </t>
    </r>
    <r>
      <rPr>
        <b/>
        <sz val="14"/>
        <color indexed="57"/>
        <rFont val="Calibri"/>
        <family val="2"/>
      </rPr>
      <t xml:space="preserve">                                                                                </t>
    </r>
  </si>
  <si>
    <r>
      <t xml:space="preserve">Patrocínio
</t>
    </r>
    <r>
      <rPr>
        <b/>
        <sz val="14"/>
        <color indexed="21"/>
        <rFont val="Calibri"/>
        <family val="2"/>
      </rPr>
      <t xml:space="preserve">(máximo de 5% do total da RAL)   </t>
    </r>
    <r>
      <rPr>
        <b/>
        <sz val="14"/>
        <color indexed="10"/>
        <rFont val="Calibri"/>
        <family val="2"/>
      </rPr>
      <t xml:space="preserve">      </t>
    </r>
    <r>
      <rPr>
        <b/>
        <sz val="14"/>
        <color indexed="8"/>
        <rFont val="Calibri"/>
        <family val="2"/>
      </rPr>
      <t xml:space="preserve">                                                                            </t>
    </r>
  </si>
  <si>
    <t>1.1 Receitas de Arrecadação Total</t>
  </si>
  <si>
    <t>Meta 2019</t>
  </si>
  <si>
    <t>Meta 2019 - Revisada</t>
  </si>
  <si>
    <t>AT/N/R/E/C</t>
  </si>
  <si>
    <t>PLANO DE AÇÃO - REPROGRAMAÇÃO 2019</t>
  </si>
  <si>
    <t>Projetado Jun/Dez
 (C )</t>
  </si>
  <si>
    <t xml:space="preserve">Proposta Reprogramação (D=B+C)  </t>
  </si>
  <si>
    <t>Fundo de Apoio  (E)</t>
  </si>
  <si>
    <t>% Utilização do Fundo de Apoio
(F=E/D)</t>
  </si>
  <si>
    <t xml:space="preserve"> Valor(R$)
(G=D-A)</t>
  </si>
  <si>
    <t>% 
(H=G/A *100)</t>
  </si>
  <si>
    <t>Execução Jan/Mai
 (B)</t>
  </si>
  <si>
    <t>Reprogramação 2019</t>
  </si>
  <si>
    <t>Programação 2019 (A)</t>
  </si>
  <si>
    <t>Anexo 1.1- Limites de Aplicação dos Recursos Estratégicos - Reprogramação 2019</t>
  </si>
  <si>
    <t>Valor da Reprogramação 2019 (R$)</t>
  </si>
  <si>
    <r>
      <t xml:space="preserve">Fiscalização
</t>
    </r>
    <r>
      <rPr>
        <b/>
        <sz val="14"/>
        <color rgb="FF008080"/>
        <rFont val="Calibri"/>
        <family val="2"/>
      </rPr>
      <t xml:space="preserve">(mínimo de 15 % do total da RAL)   </t>
    </r>
    <r>
      <rPr>
        <b/>
        <sz val="14"/>
        <color indexed="21"/>
        <rFont val="Calibri"/>
        <family val="2"/>
      </rPr>
      <t xml:space="preserve">   </t>
    </r>
    <r>
      <rPr>
        <b/>
        <sz val="14"/>
        <color indexed="10"/>
        <rFont val="Calibri"/>
        <family val="2"/>
      </rPr>
      <t xml:space="preserve">  </t>
    </r>
    <r>
      <rPr>
        <b/>
        <sz val="14"/>
        <color indexed="8"/>
        <rFont val="Calibri"/>
        <family val="2"/>
      </rPr>
      <t xml:space="preserve">                                                                     </t>
    </r>
  </si>
  <si>
    <r>
      <t xml:space="preserve">Objetivos Estratégicos Locais
</t>
    </r>
    <r>
      <rPr>
        <b/>
        <sz val="14"/>
        <color rgb="FFFF0000"/>
        <rFont val="Calibri"/>
        <family val="2"/>
      </rPr>
      <t xml:space="preserve"> </t>
    </r>
    <r>
      <rPr>
        <b/>
        <sz val="14"/>
        <color rgb="FF008080"/>
        <rFont val="Calibri"/>
        <family val="2"/>
      </rPr>
      <t xml:space="preserve">(mínimo de 6 % do total da RAL) </t>
    </r>
    <r>
      <rPr>
        <b/>
        <sz val="14"/>
        <color indexed="21"/>
        <rFont val="Calibri"/>
        <family val="2"/>
      </rPr>
      <t xml:space="preserve">                        </t>
    </r>
  </si>
  <si>
    <r>
      <t xml:space="preserve">Assistência Técnica
</t>
    </r>
    <r>
      <rPr>
        <b/>
        <sz val="14"/>
        <color rgb="FF008080"/>
        <rFont val="Calibri"/>
        <family val="2"/>
        <scheme val="minor"/>
      </rPr>
      <t xml:space="preserve">(mínimo de 2% do total da RAL) </t>
    </r>
    <r>
      <rPr>
        <b/>
        <sz val="14"/>
        <color theme="1"/>
        <rFont val="Calibri"/>
        <family val="2"/>
        <scheme val="minor"/>
      </rPr>
      <t xml:space="preserve">   </t>
    </r>
  </si>
  <si>
    <r>
      <t xml:space="preserve">Reserva de Contingência
</t>
    </r>
    <r>
      <rPr>
        <b/>
        <sz val="14"/>
        <color indexed="21"/>
        <rFont val="Calibri"/>
        <family val="2"/>
      </rPr>
      <t xml:space="preserve">(até 2 % do total da RAL)              </t>
    </r>
  </si>
  <si>
    <t>Anexo 1.2 - Demonstrativo de Usos e Fontes - Reprogramação 2019</t>
  </si>
  <si>
    <t>Programação 2019  (A)</t>
  </si>
  <si>
    <t>RESUMO DA REPROGRAMAÇÃO  2019 - POR CATEGORIA ECONÔMICA</t>
  </si>
  <si>
    <t>1. Receita de Arrecadação do Exercício</t>
  </si>
  <si>
    <t>Execução 
Jan/Mai (B)</t>
  </si>
  <si>
    <t>Projetado
 Jun/Dez  (C)</t>
  </si>
  <si>
    <t>Proposta Reprogramação (D=B+C)</t>
  </si>
  <si>
    <t>Valores
 (E=D-A)</t>
  </si>
  <si>
    <t>%       
 (F=E/A)</t>
  </si>
  <si>
    <t xml:space="preserve">Part. % (G)           </t>
  </si>
  <si>
    <t>Projetado 
Jun/Dez (C )</t>
  </si>
  <si>
    <t>Proposta de Reprogramação (D=B+C)</t>
  </si>
  <si>
    <t>Programação 2019
(A)</t>
  </si>
  <si>
    <t>Valores
(E=D-A)</t>
  </si>
  <si>
    <t>%
(F=E/A)</t>
  </si>
  <si>
    <t>Anexo 1.4 - Quadro Descritivo de Ações e Metas do Plano de Ação - Reprogramação 2019</t>
  </si>
  <si>
    <t>Anexo 1.3- Aplicações por Projeto/Atividade - por Elemento de Despesa (Consolidado) - Reprogramação 2019</t>
  </si>
  <si>
    <t>FA</t>
  </si>
  <si>
    <t>Reprogramação 2019 (B)</t>
  </si>
  <si>
    <t>Programação 2019 (D)</t>
  </si>
  <si>
    <t>Reprogramação 2019 (E)</t>
  </si>
  <si>
    <t>Programação 2019(A)</t>
  </si>
  <si>
    <t>AT/N/R/E/C/PE</t>
  </si>
  <si>
    <t>Tipo de despesas</t>
  </si>
  <si>
    <t>Capital</t>
  </si>
  <si>
    <r>
      <t xml:space="preserve"> Índice de municípios que possuem Plano Diretor, em conformidade com os critérios da legislação
 </t>
    </r>
    <r>
      <rPr>
        <b/>
        <sz val="20"/>
        <rFont val="Calibri"/>
        <family val="2"/>
        <scheme val="minor"/>
      </rPr>
      <t xml:space="preserve">(CAU/UF)
</t>
    </r>
  </si>
  <si>
    <t xml:space="preserve">número de municípios do Estado que possuem instrumentos de planejamento urbano </t>
  </si>
  <si>
    <t>x 100</t>
  </si>
  <si>
    <t>total de municípios do Estado</t>
  </si>
  <si>
    <r>
      <t xml:space="preserve">Índice de recursos destinados às políticas públicas de planejamento e gestão do território (do orçamento federal) (%) - </t>
    </r>
    <r>
      <rPr>
        <b/>
        <sz val="20"/>
        <rFont val="Calibri"/>
        <family val="2"/>
        <scheme val="minor"/>
      </rPr>
      <t>(CAU BR)</t>
    </r>
    <r>
      <rPr>
        <b/>
        <vertAlign val="superscript"/>
        <sz val="20"/>
        <rFont val="Calibri"/>
        <family val="2"/>
        <scheme val="minor"/>
      </rPr>
      <t>1</t>
    </r>
    <r>
      <rPr>
        <b/>
        <sz val="20"/>
        <rFont val="Calibri"/>
        <family val="2"/>
        <scheme val="minor"/>
      </rPr>
      <t xml:space="preserve">
</t>
    </r>
  </si>
  <si>
    <t>Σ do orçamento federal destinado a programas relacionados a políticas públicas de planejamento e gestão do território
_______________________________
total do orçamento federal do ano</t>
  </si>
  <si>
    <t xml:space="preserve"> Índice de municípios que possuem Plano Diretor, em conformidade com os critérios da legislação</t>
  </si>
  <si>
    <r>
      <t xml:space="preserve"> Participação da arquitetura no PIB (%) - </t>
    </r>
    <r>
      <rPr>
        <b/>
        <sz val="20"/>
        <rFont val="Calibri"/>
        <family val="2"/>
        <scheme val="minor"/>
      </rPr>
      <t>(CAU BR)</t>
    </r>
    <r>
      <rPr>
        <b/>
        <vertAlign val="superscript"/>
        <sz val="20"/>
        <rFont val="Calibri"/>
        <family val="2"/>
        <scheme val="minor"/>
      </rPr>
      <t>1</t>
    </r>
    <r>
      <rPr>
        <b/>
        <sz val="20"/>
        <rFont val="Calibri"/>
        <family val="2"/>
        <scheme val="minor"/>
      </rPr>
      <t xml:space="preserve">  </t>
    </r>
  </si>
  <si>
    <t>receita anual das atividades de Arquitetura e Urbanismo
___________________________________
PIB</t>
  </si>
  <si>
    <r>
      <t xml:space="preserve">Índice de participação na construção civil (%) - </t>
    </r>
    <r>
      <rPr>
        <b/>
        <sz val="20"/>
        <rFont val="Calibri"/>
        <family val="2"/>
        <scheme val="minor"/>
      </rPr>
      <t>(CAU BR)</t>
    </r>
    <r>
      <rPr>
        <b/>
        <vertAlign val="superscript"/>
        <sz val="20"/>
        <rFont val="Calibri"/>
        <family val="2"/>
        <scheme val="minor"/>
      </rPr>
      <t>1</t>
    </r>
  </si>
  <si>
    <t>total do faturamento da Arquitetura e Urbanismo
__________________________________
total do faturamento da construção civil</t>
  </si>
  <si>
    <r>
      <t>Índice de orientações gerais  realizadas  (%) -</t>
    </r>
    <r>
      <rPr>
        <b/>
        <sz val="20"/>
        <rFont val="Calibri"/>
        <family val="2"/>
        <scheme val="minor"/>
      </rPr>
      <t xml:space="preserve"> (CAU/UF)</t>
    </r>
    <r>
      <rPr>
        <sz val="20"/>
        <rFont val="Calibri"/>
        <family val="2"/>
        <scheme val="minor"/>
      </rPr>
      <t xml:space="preserve">
</t>
    </r>
  </si>
  <si>
    <t>quantidade de orientações gerais realizadas pelo CAU/UF</t>
  </si>
  <si>
    <t>X 100</t>
  </si>
  <si>
    <t>Semestral</t>
  </si>
  <si>
    <t>número de orientações propostas a serem realizadas</t>
  </si>
  <si>
    <r>
      <t xml:space="preserve">Índice de eficiência na conclusão de processos de fiscalização  (%) - </t>
    </r>
    <r>
      <rPr>
        <b/>
        <sz val="20"/>
        <rFont val="Calibri"/>
        <family val="2"/>
        <scheme val="minor"/>
      </rPr>
      <t>(CAU/UF)</t>
    </r>
  </si>
  <si>
    <t>número de processos de fiscalização concluídos em um ano</t>
  </si>
  <si>
    <t xml:space="preserve"> número total de processos de fiscalização</t>
  </si>
  <si>
    <r>
      <t>Taxa de aplicabilidade das normas de fiscalização (%)</t>
    </r>
    <r>
      <rPr>
        <b/>
        <sz val="20"/>
        <rFont val="Calibri"/>
        <family val="2"/>
        <scheme val="minor"/>
      </rPr>
      <t xml:space="preserve"> - (CAU/ BR)</t>
    </r>
    <r>
      <rPr>
        <b/>
        <vertAlign val="superscript"/>
        <sz val="20"/>
        <rFont val="Calibri"/>
        <family val="2"/>
        <scheme val="minor"/>
      </rPr>
      <t>1</t>
    </r>
  </si>
  <si>
    <t>número de Estados que aplicam as normas de fiscalização
________________________________________________
total de Estados</t>
  </si>
  <si>
    <r>
      <t xml:space="preserve">Taxa de aplicabilidade das ferramentas de fiscalização (%) - </t>
    </r>
    <r>
      <rPr>
        <b/>
        <sz val="20"/>
        <rFont val="Calibri"/>
        <family val="2"/>
        <scheme val="minor"/>
      </rPr>
      <t>(CAU BR)</t>
    </r>
    <r>
      <rPr>
        <b/>
        <vertAlign val="superscript"/>
        <sz val="20"/>
        <rFont val="Calibri"/>
        <family val="2"/>
        <scheme val="minor"/>
      </rPr>
      <t>1</t>
    </r>
  </si>
  <si>
    <r>
      <t xml:space="preserve">Taxa de sucesso na utilização das normas (%) - </t>
    </r>
    <r>
      <rPr>
        <b/>
        <sz val="20"/>
        <rFont val="Calibri"/>
        <family val="2"/>
        <scheme val="minor"/>
      </rPr>
      <t>(CAU BR)</t>
    </r>
    <r>
      <rPr>
        <b/>
        <vertAlign val="superscript"/>
        <sz val="20"/>
        <rFont val="Calibri"/>
        <family val="2"/>
        <scheme val="minor"/>
      </rPr>
      <t>1</t>
    </r>
  </si>
  <si>
    <t>número de normas sendo utilizadas
_________________________________
total de normas</t>
  </si>
  <si>
    <r>
      <t xml:space="preserve">Índice de atendimento (%) - </t>
    </r>
    <r>
      <rPr>
        <b/>
        <sz val="20"/>
        <rFont val="Calibri"/>
        <family val="2"/>
        <scheme val="minor"/>
      </rPr>
      <t>(CAU/UF)</t>
    </r>
  </si>
  <si>
    <t>número de solicitações tratadas em até 30 dias</t>
  </si>
  <si>
    <t>número de solicitações</t>
  </si>
  <si>
    <r>
      <t xml:space="preserve">Índice de satisfação com a solução da demanda (%) - </t>
    </r>
    <r>
      <rPr>
        <b/>
        <sz val="20"/>
        <rFont val="Calibri"/>
        <family val="2"/>
        <scheme val="minor"/>
      </rPr>
      <t>(CAU/UF)</t>
    </r>
  </si>
  <si>
    <t>número de usuários satisfeitos com a solução da demanda</t>
  </si>
  <si>
    <t>número de usuários que responderam a pesquisa</t>
  </si>
  <si>
    <r>
      <t xml:space="preserve">Índice da intenção (plano) de investimento em patrocínios (%)- </t>
    </r>
    <r>
      <rPr>
        <b/>
        <sz val="20"/>
        <rFont val="Calibri"/>
        <family val="2"/>
        <scheme val="minor"/>
      </rPr>
      <t>(CAU/UF)</t>
    </r>
  </si>
  <si>
    <t>valor orçamentário destinado a patrocínios</t>
  </si>
  <si>
    <t>orçamento total</t>
  </si>
  <si>
    <r>
      <t xml:space="preserve">Índice da capacidade de execução dos investimentos em patrocínios  (%) - </t>
    </r>
    <r>
      <rPr>
        <b/>
        <sz val="20"/>
        <rFont val="Calibri"/>
        <family val="2"/>
        <scheme val="minor"/>
      </rPr>
      <t xml:space="preserve">(CAU/UF) </t>
    </r>
  </si>
  <si>
    <t>valor orçamentário investido (executado) em patrocínios</t>
  </si>
  <si>
    <r>
      <t xml:space="preserve">Índice da intenção (plano) de investimento em patrocínios (%)- </t>
    </r>
    <r>
      <rPr>
        <b/>
        <sz val="20"/>
        <rFont val="Calibri"/>
        <family val="2"/>
        <scheme val="minor"/>
      </rPr>
      <t>(CAU BR)</t>
    </r>
    <r>
      <rPr>
        <b/>
        <vertAlign val="superscript"/>
        <sz val="20"/>
        <rFont val="Calibri"/>
        <family val="2"/>
        <scheme val="minor"/>
      </rPr>
      <t>1</t>
    </r>
  </si>
  <si>
    <t>valor orçamentário destinado a patrocínios 
______________________________________
orçamento total</t>
  </si>
  <si>
    <r>
      <t xml:space="preserve">Índice da capacidade de execução dos investimentos em patrocínios  (%) - </t>
    </r>
    <r>
      <rPr>
        <b/>
        <sz val="20"/>
        <rFont val="Calibri"/>
        <family val="2"/>
        <scheme val="minor"/>
      </rPr>
      <t>(CAU/BR)</t>
    </r>
    <r>
      <rPr>
        <b/>
        <vertAlign val="superscript"/>
        <sz val="20"/>
        <rFont val="Calibri"/>
        <family val="2"/>
        <scheme val="minor"/>
      </rPr>
      <t>1</t>
    </r>
  </si>
  <si>
    <t>valor orçamentário investido (executado) em patrocínios
_________________________________________
valor orçamentário destinado a patrocínios</t>
  </si>
  <si>
    <r>
      <t xml:space="preserve">Índice de aproveitamento das manifestações técnicas do CAU no MEC (%) - </t>
    </r>
    <r>
      <rPr>
        <b/>
        <sz val="20"/>
        <rFont val="Calibri"/>
        <family val="2"/>
        <scheme val="minor"/>
      </rPr>
      <t>(CAU BR)</t>
    </r>
    <r>
      <rPr>
        <b/>
        <vertAlign val="superscript"/>
        <sz val="20"/>
        <rFont val="Calibri"/>
        <family val="2"/>
        <scheme val="minor"/>
      </rPr>
      <t>1</t>
    </r>
  </si>
  <si>
    <t>número de manifestações técnicas aproveitadas pelo MEC
----------------------------------------------------------------                               número de manifestações técnicas apresentadas pelo CAU ao MEC</t>
  </si>
  <si>
    <r>
      <t>Índice de aprovação das Diretrizes Curriculares Nacionais (DCN) propostas pelo CAU ao Conselho Nacional de Ensino (CNE) (%) -</t>
    </r>
    <r>
      <rPr>
        <b/>
        <sz val="20"/>
        <rFont val="Calibri"/>
        <family val="2"/>
        <scheme val="minor"/>
      </rPr>
      <t xml:space="preserve"> (CAU BR)</t>
    </r>
    <r>
      <rPr>
        <b/>
        <vertAlign val="superscript"/>
        <sz val="20"/>
        <rFont val="Calibri"/>
        <family val="2"/>
        <scheme val="minor"/>
      </rPr>
      <t>1</t>
    </r>
  </si>
  <si>
    <r>
      <t>Índice de presença profissional em órgãos federais de planejamento e gestão urbana (%) -</t>
    </r>
    <r>
      <rPr>
        <b/>
        <sz val="20"/>
        <rFont val="Calibri"/>
        <family val="2"/>
        <scheme val="minor"/>
      </rPr>
      <t xml:space="preserve"> (CAU BR)</t>
    </r>
    <r>
      <rPr>
        <b/>
        <vertAlign val="superscript"/>
        <sz val="20"/>
        <rFont val="Calibri"/>
        <family val="2"/>
        <scheme val="minor"/>
      </rPr>
      <t>1</t>
    </r>
  </si>
  <si>
    <r>
      <t>Índice de presença profissional em órgãos de planejamento e gestão urbana (%) -</t>
    </r>
    <r>
      <rPr>
        <b/>
        <sz val="20"/>
        <color theme="1"/>
        <rFont val="Calibri"/>
        <family val="2"/>
        <scheme val="minor"/>
      </rPr>
      <t xml:space="preserve"> (CAU/UF)
</t>
    </r>
  </si>
  <si>
    <t>número de órgãos públicos nos municípios do Estado que atuam em planejamento territorial e gestão urbana que utilizem pelo menos um arquiteto e urbanista (interno ou externo)</t>
  </si>
  <si>
    <t>número de órgãos públicos nos municípios do Estado que atuam em planejamento territorial e gestão urbana</t>
  </si>
  <si>
    <r>
      <t xml:space="preserve">Índice de municípios que possuem um órgão de planejamento urbano (%) - </t>
    </r>
    <r>
      <rPr>
        <b/>
        <sz val="20"/>
        <color theme="1"/>
        <rFont val="Calibri"/>
        <family val="2"/>
        <scheme val="minor"/>
      </rPr>
      <t>(CAU/UF)</t>
    </r>
  </si>
  <si>
    <t>número de municípios no Estado que possuem um órgão de planejamento urbano</t>
  </si>
  <si>
    <t>total de municípios no Estado</t>
  </si>
  <si>
    <r>
      <t xml:space="preserve">Participação do CAU na elaboração ou regulamentação da Lei da Asssitência Técnica Gratuita (Lei nº 11.888/08) (%) - </t>
    </r>
    <r>
      <rPr>
        <b/>
        <sz val="20"/>
        <rFont val="Calibri"/>
        <family val="2"/>
        <scheme val="minor"/>
      </rPr>
      <t xml:space="preserve">(CAU/UF)
</t>
    </r>
  </si>
  <si>
    <t xml:space="preserve">número de municípios no Estado que aplicam a Lei de Assistência Técnica </t>
  </si>
  <si>
    <t>x100</t>
  </si>
  <si>
    <t>total de municípios do Estado (= total da amostragem definida)</t>
  </si>
  <si>
    <r>
      <t xml:space="preserve">Obrigatoriedade de planos urbanísticos para as cidades (%) - </t>
    </r>
    <r>
      <rPr>
        <b/>
        <sz val="20"/>
        <rFont val="Calibri"/>
        <family val="2"/>
        <scheme val="minor"/>
      </rPr>
      <t>(CAU/UF)</t>
    </r>
  </si>
  <si>
    <t xml:space="preserve">número de planos diretores que contemplam planos urbanísticos nos municípios do Estado
</t>
  </si>
  <si>
    <t>número de planos diretores nos municípios do Estado</t>
  </si>
  <si>
    <r>
      <t xml:space="preserve">Participação do CAU na elaboração de leis que impactem o exercício profissional da Arquitetura e Urbanismo (%) - </t>
    </r>
    <r>
      <rPr>
        <b/>
        <sz val="20"/>
        <rFont val="Calibri"/>
        <family val="2"/>
        <scheme val="minor"/>
      </rPr>
      <t>(CAU BR)</t>
    </r>
    <r>
      <rPr>
        <b/>
        <vertAlign val="superscript"/>
        <sz val="20"/>
        <rFont val="Calibri"/>
        <family val="2"/>
        <scheme val="minor"/>
      </rPr>
      <t>1</t>
    </r>
  </si>
  <si>
    <t>número de projetos de lei com envolvimento do CAU
_________________________________________
total de projetos de lei que impactam a Arquitetura e Urbanismo</t>
  </si>
  <si>
    <r>
      <t xml:space="preserve">Índice de obras públicas federais de Arquitetura e Urbanismo realizadas via concurso (%) -  </t>
    </r>
    <r>
      <rPr>
        <b/>
        <sz val="20"/>
        <rFont val="Calibri"/>
        <family val="2"/>
        <scheme val="minor"/>
      </rPr>
      <t>(CAU BR)</t>
    </r>
    <r>
      <rPr>
        <b/>
        <vertAlign val="superscript"/>
        <sz val="20"/>
        <rFont val="Calibri"/>
        <family val="2"/>
        <scheme val="minor"/>
      </rPr>
      <t>1</t>
    </r>
  </si>
  <si>
    <t>total de obras públicas federais de Arquitetura e Urbanismo realizadas via concurso
____________________________________________
total de obras públicas federais de Arquitetura e Urbanismo</t>
  </si>
  <si>
    <r>
      <t xml:space="preserve">Acessos à página do CAU (Qtd.) - </t>
    </r>
    <r>
      <rPr>
        <b/>
        <sz val="20"/>
        <rFont val="Calibri"/>
        <family val="2"/>
        <scheme val="minor"/>
      </rPr>
      <t>(CAU/UF) e  (CAU BR)</t>
    </r>
    <r>
      <rPr>
        <b/>
        <vertAlign val="superscript"/>
        <sz val="20"/>
        <rFont val="Calibri"/>
        <family val="2"/>
        <scheme val="minor"/>
      </rPr>
      <t>1</t>
    </r>
  </si>
  <si>
    <t>Quantidade de acessos qualificados (visitantes únicos) a página do CAU</t>
  </si>
  <si>
    <r>
      <t xml:space="preserve">Índice de presença na mídia como um todo (%) - </t>
    </r>
    <r>
      <rPr>
        <b/>
        <sz val="20"/>
        <rFont val="Calibri"/>
        <family val="2"/>
        <scheme val="minor"/>
      </rPr>
      <t>(CAU/UF) e  (CAU BR)</t>
    </r>
    <r>
      <rPr>
        <b/>
        <vertAlign val="superscript"/>
        <sz val="20"/>
        <rFont val="Calibri"/>
        <family val="2"/>
        <scheme val="minor"/>
      </rPr>
      <t>1</t>
    </r>
  </si>
  <si>
    <t xml:space="preserve">número de inserções na mídia em geral onde o CAU foi citado
</t>
  </si>
  <si>
    <t>total de notícias sobre questões de Arquitetura e Urbanismo</t>
  </si>
  <si>
    <r>
      <t xml:space="preserve">Índice de inserções positivas na mídia (%) - </t>
    </r>
    <r>
      <rPr>
        <b/>
        <sz val="20"/>
        <rFont val="Calibri"/>
        <family val="2"/>
        <scheme val="minor"/>
      </rPr>
      <t>(CAU/UF) e  (CAU BR)</t>
    </r>
    <r>
      <rPr>
        <b/>
        <vertAlign val="superscript"/>
        <sz val="20"/>
        <rFont val="Calibri"/>
        <family val="2"/>
        <scheme val="minor"/>
      </rPr>
      <t>1</t>
    </r>
  </si>
  <si>
    <t xml:space="preserve">número de inserções positivas do CAU na mídia 
</t>
  </si>
  <si>
    <t>total de inserções do CAU na mídia</t>
  </si>
  <si>
    <r>
      <t xml:space="preserve">Índice de escolas que possuem disciplinas com conteúdo sobre a ética profissional (%) - </t>
    </r>
    <r>
      <rPr>
        <b/>
        <sz val="20"/>
        <rFont val="Calibri"/>
        <family val="2"/>
        <charset val="1"/>
      </rPr>
      <t xml:space="preserve">(CAU/UF)
</t>
    </r>
  </si>
  <si>
    <t xml:space="preserve">número de escolas do Estado com a disciplina de ética profissional na grade curricular
</t>
  </si>
  <si>
    <t>número total de escolas do Estado</t>
  </si>
  <si>
    <r>
      <t>Índice de eficiência na conclusão de processos éticos (%) -</t>
    </r>
    <r>
      <rPr>
        <b/>
        <sz val="20"/>
        <rFont val="Calibri"/>
        <family val="2"/>
      </rPr>
      <t>(CAU/UF) e  (CAU BR)</t>
    </r>
    <r>
      <rPr>
        <b/>
        <vertAlign val="superscript"/>
        <sz val="20"/>
        <rFont val="Calibri"/>
        <family val="2"/>
      </rPr>
      <t>1</t>
    </r>
  </si>
  <si>
    <t xml:space="preserve">número de processos éticos concluídos em um ano
</t>
  </si>
  <si>
    <t>número total de processos éticos</t>
  </si>
  <si>
    <r>
      <t xml:space="preserve">Índice de RRT por população (1.000 habitantes)  </t>
    </r>
    <r>
      <rPr>
        <b/>
        <sz val="20"/>
        <rFont val="Calibri"/>
        <family val="2"/>
        <scheme val="minor"/>
      </rPr>
      <t>- (CAU/UF)</t>
    </r>
  </si>
  <si>
    <r>
      <t xml:space="preserve">Índice de RRT mínimas  - </t>
    </r>
    <r>
      <rPr>
        <b/>
        <sz val="20"/>
        <rFont val="Calibri"/>
        <family val="2"/>
        <scheme val="minor"/>
      </rPr>
      <t>(CAU/UF)</t>
    </r>
  </si>
  <si>
    <r>
      <t xml:space="preserve">Índice de receita por arquiteto e urbanista  - </t>
    </r>
    <r>
      <rPr>
        <b/>
        <sz val="20"/>
        <rFont val="Calibri"/>
        <family val="2"/>
        <scheme val="minor"/>
      </rPr>
      <t xml:space="preserve">(CAU/UF) </t>
    </r>
  </si>
  <si>
    <t xml:space="preserve">receita corrente do Estado
</t>
  </si>
  <si>
    <t>Semestral e anual</t>
  </si>
  <si>
    <t>arquiteto e urbanista ativo no Estado</t>
  </si>
  <si>
    <r>
      <t xml:space="preserve">Relação receita/custo de pessoal (%) - </t>
    </r>
    <r>
      <rPr>
        <b/>
        <sz val="20"/>
        <rFont val="Calibri"/>
        <family val="2"/>
        <scheme val="minor"/>
      </rPr>
      <t>(CAU/UF)</t>
    </r>
  </si>
  <si>
    <t xml:space="preserve">custo de pessoal do Estado
</t>
  </si>
  <si>
    <t>receita corrente do Estado</t>
  </si>
  <si>
    <r>
      <t xml:space="preserve">Índice de liquidez corrente </t>
    </r>
    <r>
      <rPr>
        <b/>
        <sz val="20"/>
        <rFont val="Calibri"/>
        <family val="2"/>
        <scheme val="minor"/>
      </rPr>
      <t>(CAU/UF) e  (CAU BR)</t>
    </r>
    <r>
      <rPr>
        <b/>
        <vertAlign val="superscript"/>
        <sz val="20"/>
        <rFont val="Calibri"/>
        <family val="2"/>
        <scheme val="minor"/>
      </rPr>
      <t>1</t>
    </r>
  </si>
  <si>
    <t xml:space="preserve">ativo circulante
</t>
  </si>
  <si>
    <t>passivo circulante</t>
  </si>
  <si>
    <r>
      <t xml:space="preserve">Índice de inadimplência pessoa física (%) - </t>
    </r>
    <r>
      <rPr>
        <b/>
        <sz val="20"/>
        <rFont val="Calibri"/>
        <family val="2"/>
        <scheme val="minor"/>
      </rPr>
      <t>(CAU/UF)</t>
    </r>
  </si>
  <si>
    <t xml:space="preserve">total de profissionais inadimplentes
</t>
  </si>
  <si>
    <t>total de profissionais ativos</t>
  </si>
  <si>
    <r>
      <t xml:space="preserve">Índice de inadimplência pessoa jurídica (%) - </t>
    </r>
    <r>
      <rPr>
        <b/>
        <sz val="20"/>
        <rFont val="Calibri"/>
        <family val="2"/>
        <scheme val="minor"/>
      </rPr>
      <t>(CAU/UF)</t>
    </r>
  </si>
  <si>
    <t>total de empresas inadimplentes</t>
  </si>
  <si>
    <t>total de empresas ativas</t>
  </si>
  <si>
    <r>
      <t>Índice de processos aprimorados e/ou inovados (%) -</t>
    </r>
    <r>
      <rPr>
        <b/>
        <sz val="20"/>
        <rFont val="Calibri"/>
        <family val="2"/>
        <scheme val="minor"/>
      </rPr>
      <t>(CAU/UF) e  (CAU BR)</t>
    </r>
    <r>
      <rPr>
        <b/>
        <vertAlign val="superscript"/>
        <sz val="20"/>
        <rFont val="Calibri"/>
        <family val="2"/>
        <scheme val="minor"/>
      </rPr>
      <t>1</t>
    </r>
  </si>
  <si>
    <t xml:space="preserve">número de processos críticos aprimorados e/ou inovados
</t>
  </si>
  <si>
    <t>total de processos críticos</t>
  </si>
  <si>
    <r>
      <t xml:space="preserve">Média de horas de treinamento por colaboradores e dirigentes </t>
    </r>
    <r>
      <rPr>
        <b/>
        <sz val="20"/>
        <rFont val="Calibri"/>
        <family val="2"/>
        <scheme val="minor"/>
      </rPr>
      <t>(CAU/UF) e  (CAU BR)</t>
    </r>
    <r>
      <rPr>
        <b/>
        <vertAlign val="superscript"/>
        <sz val="20"/>
        <rFont val="Calibri"/>
        <family val="2"/>
        <scheme val="minor"/>
      </rPr>
      <t>1</t>
    </r>
  </si>
  <si>
    <t>número total de colaboradores e dirigentes</t>
  </si>
  <si>
    <r>
      <t>Índice de engajamento dos colaboradores e dirigentes (%) -</t>
    </r>
    <r>
      <rPr>
        <b/>
        <sz val="20"/>
        <rFont val="Calibri"/>
        <family val="2"/>
        <scheme val="minor"/>
      </rPr>
      <t xml:space="preserve"> (CAU/UF) e  (CAU BR)</t>
    </r>
    <r>
      <rPr>
        <b/>
        <vertAlign val="superscript"/>
        <sz val="20"/>
        <rFont val="Calibri"/>
        <family val="2"/>
        <scheme val="minor"/>
      </rPr>
      <t>1</t>
    </r>
  </si>
  <si>
    <t xml:space="preserve">número de colaboradores e dirigentes do CAU engajados de acordo com pesquisa de engajamento
</t>
  </si>
  <si>
    <t>número de colaboradores e dirigentes do CAU</t>
  </si>
  <si>
    <r>
      <t>Índice de satisfação interna com a tecnologia utilizada (%) -</t>
    </r>
    <r>
      <rPr>
        <b/>
        <sz val="20"/>
        <rFont val="Calibri"/>
        <family val="2"/>
        <scheme val="minor"/>
      </rPr>
      <t xml:space="preserve"> (CAU/UF) e  (CAU BR)</t>
    </r>
    <r>
      <rPr>
        <b/>
        <vertAlign val="superscript"/>
        <sz val="20"/>
        <rFont val="Calibri"/>
        <family val="2"/>
        <scheme val="minor"/>
      </rPr>
      <t>1</t>
    </r>
  </si>
  <si>
    <t xml:space="preserve">número de usuários internos satisfeitos com a tecnologia
</t>
  </si>
  <si>
    <t>total de usuários internos que participaram da pesquisa</t>
  </si>
  <si>
    <r>
      <t xml:space="preserve">Índice de satisfação externa com a tecnologia utilizada (%)- </t>
    </r>
    <r>
      <rPr>
        <b/>
        <sz val="20"/>
        <rFont val="Calibri"/>
        <family val="2"/>
        <scheme val="minor"/>
      </rPr>
      <t>(CAU/UF) e  (CAU BR)</t>
    </r>
    <r>
      <rPr>
        <b/>
        <vertAlign val="superscript"/>
        <sz val="20"/>
        <rFont val="Calibri"/>
        <family val="2"/>
        <scheme val="minor"/>
      </rPr>
      <t>1</t>
    </r>
  </si>
  <si>
    <t xml:space="preserve">número de usuários externos satisfeitos com a tecnologia
</t>
  </si>
  <si>
    <t>total de usuários externos que participaram da pesquisa</t>
  </si>
  <si>
    <t>número de atividades executadas
____________________________________
número de atividades demandadas</t>
  </si>
  <si>
    <t>número de propostas de DCN aprovadas pelo CNE
____________________________________________
número de propostas de DCN apresentadas pelo CAU ao CNE</t>
  </si>
  <si>
    <t>número total de RRT do Estado
__________________________________
população do Estado (1000 habitantes)</t>
  </si>
  <si>
    <t>RRT mínima
___________________________
total de RRT no Estado</t>
  </si>
  <si>
    <r>
      <t xml:space="preserve">Resolubilidade operacional do SICCAU (%) - </t>
    </r>
    <r>
      <rPr>
        <b/>
        <sz val="20"/>
        <rFont val="Calibri"/>
        <family val="2"/>
        <scheme val="minor"/>
      </rPr>
      <t>(CAU BR)</t>
    </r>
    <r>
      <rPr>
        <b/>
        <vertAlign val="superscript"/>
        <sz val="20"/>
        <rFont val="Calibri"/>
        <family val="2"/>
        <scheme val="minor"/>
      </rPr>
      <t>1</t>
    </r>
  </si>
  <si>
    <r>
      <t xml:space="preserve">Índice da capacidade de fiscalização (%) - </t>
    </r>
    <r>
      <rPr>
        <b/>
        <sz val="20"/>
        <rFont val="Calibri"/>
        <family val="2"/>
        <scheme val="minor"/>
      </rPr>
      <t xml:space="preserve">(CAU/UF)   </t>
    </r>
  </si>
  <si>
    <t>quantidade de serviços fiscalizados pelo CAU/UF no Ano</t>
  </si>
  <si>
    <t>número de serviços propostos a serem fiscalizados</t>
  </si>
  <si>
    <r>
      <t xml:space="preserve">Índice de presença profissional </t>
    </r>
    <r>
      <rPr>
        <b/>
        <sz val="20"/>
        <color theme="8" tint="-0.499984740745262"/>
        <rFont val="Calibri"/>
        <family val="2"/>
        <scheme val="minor"/>
      </rPr>
      <t>nas obras</t>
    </r>
    <r>
      <rPr>
        <sz val="20"/>
        <rFont val="Calibri"/>
        <family val="2"/>
        <scheme val="minor"/>
      </rPr>
      <t xml:space="preserve"> e  serviços fiscalizados  (%) - </t>
    </r>
    <r>
      <rPr>
        <b/>
        <sz val="20"/>
        <rFont val="Calibri"/>
        <family val="2"/>
        <scheme val="minor"/>
      </rPr>
      <t>(CAU/UF)</t>
    </r>
  </si>
  <si>
    <t>quantidade de presença profissional com RRT</t>
  </si>
  <si>
    <t>quantidade de serviços fiscalizados pelo CAU/UF</t>
  </si>
  <si>
    <r>
      <t xml:space="preserve">Índice de RRT por mês por profissional ativo  - </t>
    </r>
    <r>
      <rPr>
        <b/>
        <sz val="20"/>
        <rFont val="Calibri"/>
        <family val="2"/>
        <scheme val="minor"/>
      </rPr>
      <t xml:space="preserve">(CAU/UF)    </t>
    </r>
  </si>
  <si>
    <r>
      <t xml:space="preserve">número total de RRT registrados </t>
    </r>
    <r>
      <rPr>
        <b/>
        <sz val="20"/>
        <rFont val="Calibri"/>
        <family val="2"/>
        <scheme val="minor"/>
      </rPr>
      <t xml:space="preserve">por mês </t>
    </r>
  </si>
  <si>
    <t>Mensal</t>
  </si>
  <si>
    <t>número total de profissionais ativos no Estado</t>
  </si>
  <si>
    <r>
      <t>Índice de capacidade de atendimento de denúncias  (%) -</t>
    </r>
    <r>
      <rPr>
        <b/>
        <sz val="20"/>
        <rFont val="Calibri"/>
        <family val="2"/>
        <scheme val="minor"/>
      </rPr>
      <t xml:space="preserve"> (CAU/UF)</t>
    </r>
    <r>
      <rPr>
        <sz val="20"/>
        <rFont val="Calibri"/>
        <family val="2"/>
        <scheme val="minor"/>
      </rPr>
      <t xml:space="preserve">
</t>
    </r>
  </si>
  <si>
    <t>quantidade de denúncias atendidas pelo CAU/UF</t>
  </si>
  <si>
    <t>número de denúncias recebidas pelo CAU/UF</t>
  </si>
  <si>
    <t>número de Estados que aplicam as ferramentas de fiscalização
_________________________________________________
total de Estados</t>
  </si>
  <si>
    <t>número de órgãos federais que atuam em planejamento territorial e gestão urbana que utilizem pelo menos um arquiteto e urbanista (interno ou externo)
___________________________________________________
número de órgãos federais que atuam em planejamento territorial e gestão urbana</t>
  </si>
  <si>
    <t>horas totais de treinamento</t>
  </si>
  <si>
    <t>1 Os indicadores do CAU/BR estão em revisão.</t>
  </si>
  <si>
    <t>Orientação:  Na proposta da Reprogramação 2019, para as receitas de Arrecadação - anuidades, RRT, taxas e multas, devem ser considerados os valores constantes das Diretrizes da Reprogramação 2019. As células sinalizadas, em cinza, são fórmulas e não devem ser modificadas. Verificar os comentários colocando o cursor na célula correspondente, no cabeçalho.</t>
  </si>
  <si>
    <t>MAPA ESTRATÉGICO CAU/BA</t>
  </si>
  <si>
    <t>Presidência</t>
  </si>
  <si>
    <t>Direção Geral</t>
  </si>
  <si>
    <t>Gerência Técnica</t>
  </si>
  <si>
    <t>Gerência de Operações</t>
  </si>
  <si>
    <t>Gerência Adm. Financeira</t>
  </si>
  <si>
    <t>Assessoria Jurídica</t>
  </si>
  <si>
    <t>Comissão de Ética</t>
  </si>
  <si>
    <t>Comissão de Atos Administrativos</t>
  </si>
  <si>
    <t>Comissão de Exercício Profissional e Fiscalização</t>
  </si>
  <si>
    <t>Comissão de Planejamento e Finanças</t>
  </si>
  <si>
    <t>Comissão de Ensino</t>
  </si>
  <si>
    <t>Plenária</t>
  </si>
  <si>
    <t>Comissão de Assistência Técnica</t>
  </si>
  <si>
    <t>Gerência de Atendimento</t>
  </si>
  <si>
    <t>Gerência de Fiscalização</t>
  </si>
  <si>
    <t>A</t>
  </si>
  <si>
    <t>P</t>
  </si>
  <si>
    <t xml:space="preserve">AT </t>
  </si>
  <si>
    <t>Articulação Institucional e fomento de parcerias estratégicas.</t>
  </si>
  <si>
    <t>Manutenção Institucional</t>
  </si>
  <si>
    <t>Orientação, esclarecimento e atendimento de demandas de profissionais e empresas</t>
  </si>
  <si>
    <t>Operacionalização dos processos éticos e de multa/fiscalização</t>
  </si>
  <si>
    <t>Manutenção Administrativa financeira</t>
  </si>
  <si>
    <t>Consultoria e Assessoria Jurídica</t>
  </si>
  <si>
    <t>Operacionalização e processamento dos  processos éticos</t>
  </si>
  <si>
    <t>Assessoramento organizacional-institucional</t>
  </si>
  <si>
    <t>Operacionalização da Fiscalização e fomento da valorização profissional</t>
  </si>
  <si>
    <t>Operacionalização, Planejamento e Controle do CAU</t>
  </si>
  <si>
    <t>Fomento ao aperfeiçoamento e à formação profissional</t>
  </si>
  <si>
    <t>Operacionalização das reuniões institucionais regimentais</t>
  </si>
  <si>
    <t>Dia do Arquiteto</t>
  </si>
  <si>
    <t>APC - Aperfeiçoamento Profissional Continuado</t>
  </si>
  <si>
    <t>Patrocínio</t>
  </si>
  <si>
    <t>Aporte ao Fundo de Apoio</t>
  </si>
  <si>
    <t>Comunicação Institucional</t>
  </si>
  <si>
    <t>Programa de Capacitação dos Colaboradores</t>
  </si>
  <si>
    <t>Programa de Assistência Técnica</t>
  </si>
  <si>
    <t>Atendimento da Sociedade e arquitetos e urbanistas</t>
  </si>
  <si>
    <t>Reforma sede CAU/BA</t>
  </si>
  <si>
    <t>Aquisição de Equipamentos</t>
  </si>
  <si>
    <t>CSC -Fiscalização</t>
  </si>
  <si>
    <t>CSC- Atendimento</t>
  </si>
  <si>
    <t>Plano de Fiscalização</t>
  </si>
  <si>
    <t>Aquisição sede CAU/BA</t>
  </si>
  <si>
    <t>CAU/BA Mais Perto</t>
  </si>
  <si>
    <t>Concurso Público</t>
  </si>
  <si>
    <t>Prover recursos humanos e materiais para articular parcerias e estimular práticas voltadas a valorização e fiscalização profissional</t>
  </si>
  <si>
    <t>Prover  a estruturação, seja por meio de recursos humanos, equipamentos,  materiais e tecnologia  para execução das atividades das diversas unidades e comissões regimentais e não regimentais do CAU/BA</t>
  </si>
  <si>
    <t xml:space="preserve">Orientar, disciplinar e promover o exercício qualificado da Arquitetura e Urbanismo </t>
  </si>
  <si>
    <t>Prover recursos humanos e materiais para operacionalizar, planejar e identificar o segmento técnico fiscalizável  e no âmbito do Estado da Bahia, além de prover a estruturação dos processos éticos.</t>
  </si>
  <si>
    <t>Prover recursos humanos e materiais, operacionalizar e planejar a continuidade das ações administrativas e financeiras do CAU/BA, zelando pelo equilíbrio das contas e da contratação mais vantajosa para o Conselho.</t>
  </si>
  <si>
    <t>Prover recursos humanos e materiais para estruturar, organizar e manter em funcionamento a Assessoria Jurídica do CAU-BA.</t>
  </si>
  <si>
    <t>Prover recursos humanos e materiais visando o processamento das demandas ético-disciplinares</t>
  </si>
  <si>
    <t>Prover recursos humanos e materiais visando a estruturação e organização dos normativos do CAU/BA.</t>
  </si>
  <si>
    <t>Prover recursos humanos e materiais visando a estruturação e organização das ações de valorização profissional e de fiscalização.</t>
  </si>
  <si>
    <t>Prover recursos humanos e materiais visando a estruturação e organização do planejamento e de controle do CAU/BA</t>
  </si>
  <si>
    <t>Prover recursos humanos e materiais visando a estruturação e organização da educação continuada e de formação profissional no âmbito do CAU/BA.</t>
  </si>
  <si>
    <t>Intercambiar informações e atualizar as diretrizes de atuação no âmbito Estadual</t>
  </si>
  <si>
    <t>Promover evento que fomente a dignificação da Arquitetura por meio do intercâmbio de informações técnico-temático</t>
  </si>
  <si>
    <t>Construir parcerias e identificar temáticas que contribuam para a maturação do conteúdo de formação profissional</t>
  </si>
  <si>
    <t>Intensificar parcerias voltadas ao desenvolvimento da Arquitetura e Urbanismo</t>
  </si>
  <si>
    <t>Contribuir para estruturação e distribuição de recursos vinculadas a constituição de Fundo de Apoio.</t>
  </si>
  <si>
    <t>Prover recursos humanos e materiais para promover e disseminar a  missão, visão,  consolidando a marca CAU/BA</t>
  </si>
  <si>
    <t>Direcionar o profissional a um processo de educação, reciclagem e alteração de comportamento</t>
  </si>
  <si>
    <t>Disseminar e sensibilizar a assistência técnica pública e gratuita para o projeto e a construção de habitação de interesse social, como parte integrante do direito social à moradia previsto.</t>
  </si>
  <si>
    <t>Aperfeiçoar o atendimento aos públicos interno e externo e  aprimorar o relacionamento com a sociedade</t>
  </si>
  <si>
    <t>Reestruturação dos espaços e atividades</t>
  </si>
  <si>
    <t>Modernizar parque computacional do CAU/BA</t>
  </si>
  <si>
    <t>Dotar a Gerência de Fiscalização de sistemas que facilitem a gestão e a tomada de decisão no Plano de Fiscalização do CAU/BA</t>
  </si>
  <si>
    <t>Dotar a Gerência de Atendimento de sistemas que facilitem e agilizem o atendimento aos profissionais</t>
  </si>
  <si>
    <t>Implementar o Plano de Fiscalização Profissional no âmbito do Estado da Bahia</t>
  </si>
  <si>
    <t>Melhoria das instalações e das distribuições das unidades internas e atividades funcionais</t>
  </si>
  <si>
    <t>Credenciar mobilizadores para coletar dados e realizar ações de sensibilização nos municípios do interior do Estado</t>
  </si>
  <si>
    <t>Estruturar e organizar a realização do Concurso Público</t>
  </si>
  <si>
    <t>Fortalecimento e sedimentação da missão e visão do sistema CAU em face da sociedade, profissionais, instituições públicas e privadas.</t>
  </si>
  <si>
    <t>Manter a continuidade dos serviços e atividades do CAU/BA; Assegurar o bom funcionamento, manter a organização e promover a estruturação necessária para garantia da eficácia dos serviços, desde o atendimento, fomento à valorização profissional e fiscalização.</t>
  </si>
  <si>
    <t xml:space="preserve">Melhorar quantitativamente e qualitativamente o atendimento prestado aos profissionais e empresas </t>
  </si>
  <si>
    <t>Contribuir para a maximização das ações de fiscalização com utilização de mecanismos inovadores para sua efetivação; Contribuir para a maximização das ações disciplinares éticas.</t>
  </si>
  <si>
    <t>Melhoria no gerenciamento do fluxo de pagamentos e contratações, com vistas a estruturar rotinas eficazes de gestão.</t>
  </si>
  <si>
    <t>Elevar o conhecimento dos colaboradores em normativos aplicáveis a autarquia CAU/BA, compartilhando informações e procedimentos</t>
  </si>
  <si>
    <t>Contribuir para a otimização e agilização dos processos administrativos ético-disciplinares no âmbito do CAU/BA</t>
  </si>
  <si>
    <t>Contribuir para a otimização e agilização dos procedimentos operacionais e administrativos no âmbito do CAU/BA.</t>
  </si>
  <si>
    <t>Contribuir para a efetivação da fiscalização, mediante análise comparativa de dados, cumprimento de diligências, participação da sociedade, com vistas a assegurar a melhoria do exercício profissional do Arquiteto e Urbanista.</t>
  </si>
  <si>
    <t>Contribuir para a otimização e agilização dos procedimentos de planejamento e de controle no âmbito do CAU/BA</t>
  </si>
  <si>
    <t>Contribuir para a otimização e agilização dos procedimentos internos no âmbito do CAU/BA vinculados ao ensino e formação.</t>
  </si>
  <si>
    <t>Prover recursos humanos e materiais visando a estruturação e organização das ações do Plenário do âmbito do CAU/BA</t>
  </si>
  <si>
    <t>Intensificar e aproximar O CAU/BA com seu público-alvo e a sociedade em geral, além de aprimorar a atuação profissional, por meio do fomento ao aperfeiçoamento profissional.</t>
  </si>
  <si>
    <t>Dotar o CAU/BA de rotina continuada de fomento e de valorização profissional</t>
  </si>
  <si>
    <t>Estruturar e solidificar parcerias estratégicas</t>
  </si>
  <si>
    <t>Participação na estruturação de organização sistêmica nacional</t>
  </si>
  <si>
    <t>Solidificar a imagem, a marca e a missão do CAU/BA enquanto instituição que busca promover a Arquitetura para todos, em defesa da sociedade</t>
  </si>
  <si>
    <t>Dotar o CAU/BA de rotina continuada de fomento e de valorização dos colaboradores</t>
  </si>
  <si>
    <t>Valorização e disseminação da cultura da Assistência Técnica</t>
  </si>
  <si>
    <t>Aperfeiçoar a qualidade do atendimento prestado aos públicos interno e externo.</t>
  </si>
  <si>
    <t>O redimensionamento dos espaços contribuirá para melhoria das atividades de fiscalização, de registro, cadastro, atendimento e funcionamento do CAU/BA</t>
  </si>
  <si>
    <t>Otimização e agilização dos procedimentos internos e redução no tempo de atendimento ao profissional Arquiteto e Urbanista</t>
  </si>
  <si>
    <t>Otimização e agilização dos procedimentos internos de fiscalização</t>
  </si>
  <si>
    <t xml:space="preserve">Melhoria na qualidade e na redução do tempo de atendimento </t>
  </si>
  <si>
    <t>Manter a continuidade Operacional do Plano de Fiscalização, visando maximização de suas ações.</t>
  </si>
  <si>
    <t>Levar a fiscalização do CAU/BA aos municípios do interior, para otimizar a conformidade do exercício profissional</t>
  </si>
  <si>
    <t>Dar conformidade e garantia ao processo de contratação de pessoal</t>
  </si>
  <si>
    <t>Promover a gestão do Conselho</t>
  </si>
  <si>
    <t>Promover articulação para parcerias estratégicas.</t>
  </si>
  <si>
    <t>Realizar as reuniões Plenárias</t>
  </si>
  <si>
    <t xml:space="preserve">Reunião com as unidades – individuais – 12
Reunião com as unidades – globalizadas – 12
</t>
  </si>
  <si>
    <t xml:space="preserve">Reuniões externas com órgãos públicos – 10
Reuniões externas com Prefeituras – 10
Reuniões com entidades privadas - 06
</t>
  </si>
  <si>
    <t xml:space="preserve">Participar e presidir as reuniões Plenárias – 12 
Elaborar as Pautas das Reuniões – 12 
</t>
  </si>
  <si>
    <t>Articular junto às unidades internas reuniões de trabalho e organização; Articular reuniões conjuntas para planejamento e gestão do Conselho.</t>
  </si>
  <si>
    <t>Ações políticas institucionais de articulação objetivando implementação de reuniões.</t>
  </si>
  <si>
    <t>Organizar e mediar as reuniões ordinária do Plenário do Conselho no Estado</t>
  </si>
  <si>
    <t>Assessorar a gestão do Cau-Ba</t>
  </si>
  <si>
    <t>Contatar Prefeituras e órgãos públicos objetivando celebrar parcerias voltadas a fiscalização</t>
  </si>
  <si>
    <t>Monitorar a gestão operacional e de equipes do CAU/BA</t>
  </si>
  <si>
    <t>Contribuir para elaboração do Plano de Ação</t>
  </si>
  <si>
    <t>Estruturar agenda de eventos</t>
  </si>
  <si>
    <t xml:space="preserve">Reunião com as unidades – individuais – 12
Reunião com as unidades – globalizadas – 12
Reuniões com a Presidência -  30; 
Reuniões com Comissões – 12
Reuniões com o Plenário – 12 
</t>
  </si>
  <si>
    <t xml:space="preserve">Elaboração de padrões de ofício – 06
Elaboração de padrões de acordos de cooperação – 06
Realização de visitas presenciais – 12 
</t>
  </si>
  <si>
    <t xml:space="preserve">Elaborar fluxos orientativos – 06;
Apresentar o Plano de Ação – 02
Apresentar a Reprogramação – 02
Realizar reuniões de monitoramento – 06
Esclarecer procedimentos/interpretação de normas – via e-mail – 30
Elaborar relatório de atividades – 01
Elaborar minutas de DP – 12;
Elaboração de Minutas de ofícios institucionais – 12
</t>
  </si>
  <si>
    <t xml:space="preserve">Participar de reuniões com o Plenário – 02
Participar de reuniões com as Comissões – 10
Participar de reuniões com a Assessoria contábil - 02
</t>
  </si>
  <si>
    <t xml:space="preserve">Elaborar minuta de e-mail marketing – 06;
Elaborar minuta de solicitação de cotações – 06;
Realizar reuniões com facilitadores – 10;
Elaborar pesquisa de necessidades – 03;
Elaborar agenda da capital – 01
Elaborar agenda de interior -01;
</t>
  </si>
  <si>
    <t>Articular, organizar e participar as reuniões internas que perpassam desde a Presidência até as esquipes operacionais</t>
  </si>
  <si>
    <t>Ação de articulação, apoio e assessoria, voltada a sensibilização das matérias vinculadas a Arquitetura</t>
  </si>
  <si>
    <t>Participar do desenvolvimento das atividades das diversas unidades, com vistas a dar cumprimento ao Plano de Ação e respectivas e=diretrizes estratégicas</t>
  </si>
  <si>
    <t xml:space="preserve">Assistir, dirimir dúvidas, levantar relatórios e dados estratégicos  objetivando a construção coletiva do planejamento das ações de forma estratégica para cada Comissão. </t>
  </si>
  <si>
    <t>Atuar na interface do Conselho Diretor com os profissionais visando disseminar conhecimento técnico e práticas operacionais do Conselho. facilitando a atuação profissional.</t>
  </si>
  <si>
    <t>Auditoria dos RRTs emitidos nas modalidades Simples, Mínimo e Múltiplo Mensal por amostragem</t>
  </si>
  <si>
    <t>Validar certidões de acervo técnico com atestado em conformidade com as normas específicas, atribuição e prática profissional</t>
  </si>
  <si>
    <t>Validar o registro de responsabilidade técnica de atividades, quando efetuado em desconformidade com as condições estabelecidas no art. 2° da  Resolução nº 91 do CAU-BR e registro de responsabilidade técnica de atividade(s) objeto de Anotação de Responsabilidade Técnica (ART) efetuada.</t>
  </si>
  <si>
    <t xml:space="preserve">Atender às solicitações de registro de pessoas jurídicas no prazo de 30 (trinta) dias úteis, quando não há pendência de documentação
</t>
  </si>
  <si>
    <t xml:space="preserve">2.600 RRTs/ano  </t>
  </si>
  <si>
    <t xml:space="preserve">Analisar a conformidade de 80% das solicitações de certidões </t>
  </si>
  <si>
    <t>analisar e aprovar 80% das RRT´s</t>
  </si>
  <si>
    <t>Atender 80% das solicitações de registro em 30 dias</t>
  </si>
  <si>
    <t>Efetuar duas auditorias ao longo do ano,  analisando o preenchimento de 2.600 RRTs dentre os modelos de  RRTs Simples, Mínimo e Múltiplo Mensal, que são preenchidos de forma autônoma e direta pelos profissionais no SICCAU</t>
  </si>
  <si>
    <t>Analisar a conformidade da documentação nas solicitações de certidões de acervo técnico com atestado e, dependendo do caso, orientar ações para regularização da documentação</t>
  </si>
  <si>
    <t>Analisar/aprovar o preenchimento dos RRTs Extemporâneos e Derivados  em conformidade com os dados da  documentação comprobatória</t>
  </si>
  <si>
    <t xml:space="preserve">Recepcionar as solicitações, analisar a documentação e efetuar o registro de empresas que tenham no objeto social atividades no âmbito da Arquitetura e Urbanismo no prazo de 30 (trinta) dias úteis </t>
  </si>
  <si>
    <t>Monitorar e incrementar a cobrança;</t>
  </si>
  <si>
    <t>Contabilização, conciliação e monitoramento das receitas e despesas;</t>
  </si>
  <si>
    <t>Contratações administrativas necessárias vinculadas ao funcionamento-manutenção;</t>
  </si>
  <si>
    <t>Realizar troca de conhecimento e de experiência no âmbito do Sistema</t>
  </si>
  <si>
    <t>Envio de carta de cobrança para 100% dos inadimplentes</t>
  </si>
  <si>
    <t>Emissão de 12 relatórios mensais</t>
  </si>
  <si>
    <t>Realização de 2 reuniões (1 por semestre) para levantamento de demandas</t>
  </si>
  <si>
    <t>Participação em 2 reuniões nacionais</t>
  </si>
  <si>
    <t>Enviar cobrança para 100% dos profissionais que estão em inadimplência com sua anuidade, que já possui débito para execução no valor de 4 anuidades</t>
  </si>
  <si>
    <t xml:space="preserve">Emissão de relatórios mensais, para auxiliar na tomada de decisão por parte dos gestores </t>
  </si>
  <si>
    <t>Realizar reuniões anuais para levantar necessidades das demais unidades do órgão, com objetivo de adquirir produtos ou serviços para atender as suas demandas</t>
  </si>
  <si>
    <t xml:space="preserve"> Participação de reuniões nacionais de gestores dos CAU/UF para alinhamento de ações</t>
  </si>
  <si>
    <t>Gerenciamento do Plano de Ação/2018 da Assessoria Jurídica do CAU/BA</t>
  </si>
  <si>
    <t xml:space="preserve">Padronização dos procedimentos dos instrumentos jurídicos </t>
  </si>
  <si>
    <t xml:space="preserve">Assessoramento para assegurar o cumprimento da legislação aplicável ao CAU na esfera administrativa e judicial </t>
  </si>
  <si>
    <t>Análise, ajuste e elaboração de norma/regulamento/manual de aplicação no âmbito do CAU/BA</t>
  </si>
  <si>
    <t xml:space="preserve">Disponibilização de modelos de contratos de prestação de serviços no âmbito da arquitetura e urbanismo no Site do CAU/BA  </t>
  </si>
  <si>
    <t xml:space="preserve">Assessoramento técnico jurídico às Comissões Regimentais do CAU/BA </t>
  </si>
  <si>
    <t xml:space="preserve">Assegurar a conformidade das contratações do CAU/BA à legislação/normas aplicáveis </t>
  </si>
  <si>
    <t>Assessoramento à Comissão Permanente de Licitações e Pregoeira do CAU/BA</t>
  </si>
  <si>
    <t xml:space="preserve">Atendimento técnico jurídico orientativo </t>
  </si>
  <si>
    <t xml:space="preserve">Jurídico do CAU/BA responde </t>
  </si>
  <si>
    <t xml:space="preserve">Atualização da planilha de contratações do CAU/BA </t>
  </si>
  <si>
    <t xml:space="preserve">Programa de Estágio da Assessoria Jurídica </t>
  </si>
  <si>
    <t>Estruturação da Biblioteca jurídica do CAU/BA</t>
  </si>
  <si>
    <t>Capacitação de Colaboradores da Assessoria Jurídica</t>
  </si>
  <si>
    <t xml:space="preserve">01 (um) acompanhamento/verificação por mês e 12 (doze) por ano; 04 (quatro) ajustes (reprogramação) trimestral </t>
  </si>
  <si>
    <t xml:space="preserve">30 (trinta) procedimentos e 30 (trinta) instrumentos/documentos jurídicos </t>
  </si>
  <si>
    <t xml:space="preserve">Defesa/acompanhamento de 02 (dois) processos judiciais em curso; promoção de 02 (duas) ações judiciais;  elaborar 01 (um) modelo de ofício de recomendação para encaminhar a todos os municípios da Bahia; 24 (vinte e quatro) impugnações de editais/ano; 100 (cem) ações de execuções fiscais </t>
  </si>
  <si>
    <t xml:space="preserve">
Elaborar 1 (um) Regulamento de Conciliação em processos ético-disciplinares; 1 (um) Manual de Cobrança e Dívida Ativa; 03 (três) de minutas de Resolução do CAU/BR; 1 (um) Regimento Interno do CAU/BA. 
</t>
  </si>
  <si>
    <t>02 (dois) modelos de contrato</t>
  </si>
  <si>
    <t xml:space="preserve">12 (doze)  assessoramentos/ano; 20 (vinte) modelos/documentos utilizados nos processos ético-disciplinares;  74 (setenta e quatro) análises jurídicas nos processos éticos, sendo 02 (duas) análises/mês de 32 (trinta e dois) processos em andamento;  processos já em fase de condenação e 10 (dez) análises dos que estão previstos para serem arquivados, antes da audiência de instrução; 32 (trinta e duas) audiências, sendo 19 (dezenove)  em Salvador e 13 (treze) no interior do Estado da Bahia; participação de 02 (dois) treinamentos a serem promovidos pelo CAU/BR; </t>
  </si>
  <si>
    <t xml:space="preserve">12 (doze) justificativas de dispensa; 04 (quatro) justificativas de  inexigibilidades; 16 (dezesseis) ordens de serviço/fornecimento; 12 (doze) termos aditivos.  </t>
  </si>
  <si>
    <t xml:space="preserve">5 (cinco) editais; 7 (sete) reuniões; 2 (duas) impugnações, 2 (dois) recursos, 5 (cinco) contratos/ata; 15 (quinze) publicações, </t>
  </si>
  <si>
    <t>48 (quarenta e oito) atendimentos/respostas presenciais/ano; 48 (quarenta e oito) atendimentos por telefone e 48 (quarenta e oito) atendimentos por e-mail / ano</t>
  </si>
  <si>
    <t xml:space="preserve">48 (quarenta e oito) perguntas e 48 (quarenta e oito) respostas/ano </t>
  </si>
  <si>
    <t>12 (doze) atualizações, sendo 01 (uma) por mês</t>
  </si>
  <si>
    <t>01 (um) Programa de estágio e seleção de 02 (dois) estagiários</t>
  </si>
  <si>
    <t xml:space="preserve">Aquisição de  01 (um) exemplar de  livro de Direito Administrativo, 01 (um) de Licitações e contratos públicos, 01 (um) de direito tributário, 01 (um) livro de Direito Constitucional; 01 (um) livro de Direito do Trabalho atualizado; 01 (um) livro de  Processo do Trabalho; 01 (um) livro de Direito Ambiental; 01 (uma) compilação de leis/normas; 01 (uma) assinatura de 01 (um) periódico e de 01 (uma) revista jurídica </t>
  </si>
  <si>
    <t>Nº de participantes: 02 (dois); Local de realização: a definir. Quantidade de horas: entre 8 (oito) a 32 (trinta e duas) horas para os cursos/palestras presenciais; cursos/palestras à distância: carga horária entre 08 a 32 horas.</t>
  </si>
  <si>
    <t>1. Acompanhamento do plano de ação; 2. Verificação das metas descritas se estão sendo realizadas;  3. Verificação se os resultados esperados estão sendo alcançados, no prazo previsto; 4. Realização dos ajustes necessários.</t>
  </si>
  <si>
    <t xml:space="preserve">Elaboração dos procedimentos, ajustes, atualização e padronização de 01 (um) modelo de cada instrumento jurídico/documento. </t>
  </si>
  <si>
    <t>1. Recepcionamento de demanda interna ou externa; 2. Realizar a análise jurídica da demanda; 3. Contactar a unidade/órgão/entidade, se necessário; 4. Elaborar o documento/instrumento jurídico adequado, se necessário; 5. Identificar as irregularidades/ilegalidades recorrentes nos editais de licitação dos municípios do Estado da Bahia; 6. Elaborar ofício de recomendação para as adequações necessárias nos Editais em cumprimento da Lei nº 12.378/2010 e Resoluções do CAU/BA; 7. Acompanhar o recepcionamento da recomendação; e se possível, o seu cumprimento; 8. Encaminhar para publicação no Site do CAU/BA os nomes dos municípios que atenderem que responderam e atenderam à Recomendação; 9. Acompanhar e promover a defesa do CAU/BA nos processos judiciais em curso; 9. Propor ações judiciais de interesse do CAU, incluindo execuções fiscais, visando o cumprimento da legislação; 10. Atuar administrativamente perante órgãos/entidades públicas e privadas visando garantir o cumprimento da legislação do CAU, quando demandado, após analise jurídica da demanda.</t>
  </si>
  <si>
    <t>1. Realização de pesquisa/estudos sobre o assunto/matéria relativa à norma/regulamento/manual; 2. Reuniões de discussões e alinhamento com a Diretoria Geral, Comissões Regimentais e unidades do CAU/BA; 3. Interação com os CAU/UFs sobre a matéria; 4. Elaboração do Regulamento de Conciliação em processos éticos-disciplinares, conforme Resolução nº 143/2017; 5. Elaboração do Manual de Cobrança e Dívida Ativa; 6. Análise e ajuste do Regimento Interno dos CAU/BA proposto pelo CAU/BR.</t>
  </si>
  <si>
    <t>1. Realização de pesquisar/estudos para identificar  as especificidades da relação contratual entre os arquitetos e seus consumidores de serviços e vice-versa; 2. Elaborar 02 (dois) modelos de contrato de prestação de serviços no âmbito da arquitetura e urbanismo para disponibilização no Site do CAU/BA</t>
  </si>
  <si>
    <t>1. Assessoramento jurídico às Comissões de Ética e Disciplina, Exercício Profissional e Ensino e Formação, nas reuniões mensais; 2. Análise, orientação e emissão de opinativo/parecer sobre os processos ético-disciplinares e processos das Comissões de Ensino e Formação e Comissão de Exercício Profissional, quando demandado; 3. Elaborar e atualizar os documentos/modelos utilizados pela Gerência de Operações e Comissão de Ética e Disciplina nos processos ético-disciplinares; 4. Analisar os processos ético disciplinares para adequação e cumprimento da legislação e Resolução 143/2010, quando demandado, bem como os processos da Comissão de Exercício Profissional, quando demandado;  5. Acompanhar as audiências dos processos ético-disciplinares em Salvador e nos municípios do Estado da Bahia; 6. Participar de treinamento/curso/capacitação realizados pela Comissão Ético Disciplinar do CAU/BR.</t>
  </si>
  <si>
    <t xml:space="preserve">1. Recepcionamento e análise da demanda e sua conformidade da demanda à legislação/norma aplicável; 2. Interação com a unidade demandante, caso necessário; 3. Verificação se o processo de contratação de bens/serviços trata de hipótese de dispensa ou inexigibilidade de licitação; 4. Elaboração da justificativa respectiva, nas hipóteses de dispensa ou inexigibilidade de licitação; 5. Elaboração da ordem de serviço/fornecimento; 6. Na hipótese de licitação, verificação da modalidade adequada e conformidade do processo de contratação; 7. Elaboração do contrato/ata de registro de preços. 8. Elaboração termo aditivo, extrato de publicação, termo de cessão de direitos autorais, edital de convocação de devedores. 
</t>
  </si>
  <si>
    <t xml:space="preserve">1. Elaboração e validação do edital das licitações e anexos; 2. Elaboração das respostas aos questionamentos/pedidos de esclarecimentos; 3. Participação/Acompanhamento das reuniões de abertura e julgamento da licitação; 4. Julgamento de  impugnação, de recurso e contrarrazões de recurso, se houver; 5. Elaboração da ata de registro de preços e contratos; 6. Publicação dos extratos relativos às licitações; 7. Publicação do aviso de licitação e demais publicações relativas aos processos licitatórios.
</t>
  </si>
  <si>
    <t xml:space="preserve"> 1. Orientação/análise jurídica presencial, por e-mail, por telefone aos profissionais arquitetos e urbanistas (demandas externas) e colaboradores/conselheiros (demandas internas); 2. Encaminhamentos jurídicos necessários à solução da demanda, com a elaboração respectiva dos instrumentos jurídicos adequados, caso necessário. </t>
  </si>
  <si>
    <t>1. Realização de diagnóstico para identificar os problemas e dúvidas recorrentes que ingressam na Assessoria Jurídica; 2. Elaboração das perguntas e respostas sobre os assuntos/dúvidas recorrentes e envio para a unidade responsável pela disponibilização no Site do CAU/BA; atualizar periodicamente.</t>
  </si>
  <si>
    <t xml:space="preserve">1. Atualização periódica da planilha de contratação do CAU/BA </t>
  </si>
  <si>
    <t>1. Elaboração do Programa de Estágio da Assessoria Jurídica do CAU; 2. Seleção de estagiário para compor a equipe da Assessoria Jurídica</t>
  </si>
  <si>
    <t xml:space="preserve">1. Aquisição de  livros, revistas e periódicos para o acervo da Assessoria Jurídica;  2. Pesquisar, identificar e compilar a legislação federal, estadual e municipal no âmbito da arquitetura e urbanismo; </t>
  </si>
  <si>
    <t>Participação de cursos/palestras de Capacitação técnico-jurídica da equipe da Assessoria Jurídica. Quantidade de horas: entre 8 (oito) a 32 (trinta e duas) horas para os cursos/palestras presenciais; cursos/palestras à distância: carga horária entre 08 a 32 horas.</t>
  </si>
  <si>
    <t xml:space="preserve">Zelar pela observância dos dispositivos do Código de Ética elaborado pelo CAU/BR </t>
  </si>
  <si>
    <t xml:space="preserve">Apreciar a admissibilidade de denuncias – 12
Elaborar manifestações nos processos – 12
Realizar audiências - 06
</t>
  </si>
  <si>
    <t>Elaborar modelos padronizados, que contribuam para agilização dos processos.</t>
  </si>
  <si>
    <t>Promover palestras orientativas nas diversas áreas de atuação do CAU</t>
  </si>
  <si>
    <t xml:space="preserve">Executar 06 palestras  dirigida aos profissionais – sobre ética em Salvador;
Executar 06 palestras dirigida aos profissionais no interior do estado;
Executar 06 palestras dirigida aos estudantes no estado da Bahia
</t>
  </si>
  <si>
    <t>Elaborar conteúdo dirigido ao público destinatário; Evidenciar cases;  Disseminar o conteúdo da resolução que disciplina o processo ético.</t>
  </si>
  <si>
    <t>Zelar pela observância  e conformidade dos processos mediante monitoramento dos atos internos</t>
  </si>
  <si>
    <t xml:space="preserve">Apreciar e deliberar sobre o relatório de atividades semestral – 02;
Apreciar a conformidade das DP – 12;
Revisar normativos de procedimentos internos – 01;
Executar 12 reuniões das Comissões;
</t>
  </si>
  <si>
    <t>Buscar levantar dados e informações, melhores práticas, no sentido de otimizar procedimentos e estimular a agilização dos processos internos</t>
  </si>
  <si>
    <t>Promover ações de orientação  interna AU</t>
  </si>
  <si>
    <t xml:space="preserve">Executar 03 reuniões junto as Comissões; 
Executar 03 reuniões internas junto aos  Colaboradores ;
</t>
  </si>
  <si>
    <t xml:space="preserve">Disseminar esclarecimentos e formular proposições votadas a processos administrativos e fluxos de organização do Conselho. </t>
  </si>
  <si>
    <t xml:space="preserve">Zelar pela observância  e conformidade do exercício profissional, considerando os normativos  e legislações vigentes </t>
  </si>
  <si>
    <t xml:space="preserve">Apreciar e deliberar sobre processos de multa - 30;
Apreciar a conformidade de orientações Normativas Profissionais - 06;
Executar 12 reuniões das Comissões;
</t>
  </si>
  <si>
    <t>Levantar dados e informações técnicas vinculadas às práticas profissionais,  buscando otimizar procedimentos que colaborem para a melhoria da atuação profissional.</t>
  </si>
  <si>
    <t xml:space="preserve">Estabelecer as diretrizes específicas para a orientação, supervisão e normatização da fiscalização; </t>
  </si>
  <si>
    <t xml:space="preserve">Realizar reuniões com a Fiscalização e a Direção Geral – 12;Levantar junto a Fiscalização as demandas específicas por matéria a disciplinar (considerando a competência residual) – 10;
Propor a elaboração de Cartilhas físicas/virtuais orientativas – 04;
Atualizar o Plano de Fiscalização – 01;
Acompanhar junto com a Fiscalização os dados decorrentes da execução do Plano de Fiscalização – 04 trimestralmente)
</t>
  </si>
  <si>
    <t xml:space="preserve">Implementar revisões normativos; Propor a edição de normativos;  Elaborar informes e demais produtos votados à valorização profissional e fiscalização, propor a elaboração de padrões de documentos/peças vinculadas aos processos de fiscalização, inclusive por zona fiscalizável/e não fiscalizável; </t>
  </si>
  <si>
    <t xml:space="preserve">Levantar necessidades e dificuldades existentes entre as universidades em face do CAU/BA; </t>
  </si>
  <si>
    <t xml:space="preserve">Promover palestras orientativas junto às Coordenações dos Cursos no âmbito do Estado da Bahia – 02;
Manter comunicação junto às Instituições através de Ofício – 06;
Manter canal de comunicação junto às Coordenações – através de e-mail - 12
</t>
  </si>
  <si>
    <t>Atuar na disseminação de conteúdos e esclarecimentos normativos, direcionando as instituições a adoção de soluções;</t>
  </si>
  <si>
    <t>Zelar pela observância das Diretrizes nacionais quanto a questão do ensino no âmbito do Estado da Bahia</t>
  </si>
  <si>
    <t xml:space="preserve">Apreciar processos de requerimento de registro de estrangeiro – 06;
Realizar reuniões da Comissão  - 12
Realizar reuniões com equipe operacional - 06
</t>
  </si>
  <si>
    <t>Elaborar conteúdo dirigido ao público destinatário; Analisar processos;  Disseminar o conteúdo das resoluções  que disciplinam questões do ensino de Arquitetura e urbanismo</t>
  </si>
  <si>
    <t>Sistematizar agendas periódicas com instituições de ensino, direcionada à formação do acadêmico, quanto ao exercício da atividade profissinal</t>
  </si>
  <si>
    <t>Prover 15 palestras ou oficinas orientativas sobre: a) o papel do CAU; B) atribuições profissionais;</t>
  </si>
  <si>
    <t>Atuar na aproximação e noe sclarecimento das funções e finalidade institucionais e do  exercicio profissional</t>
  </si>
  <si>
    <t>Zelar pela observância  e conformidade de atuação do Conselho perante a sociedade</t>
  </si>
  <si>
    <t xml:space="preserve">Consolidar a Pauta – 12;
Organizar as reuniões – 12;
Aprovar atas – 12;
Aprovar DP – 12;
Autorizar pronunciamentos públicos – 06; 
Analisar sobre a criação de GT’S – 06;
Apreciar matérias encaminhadas ao Plenário para apreciação - 60
</t>
  </si>
  <si>
    <t>Atuar no exercício da competência originária, assegurando o cumprimento das atividades finalísticas pelo CAU/BA</t>
  </si>
  <si>
    <t>APC-Aperfeiçoamento Profissional Continuado</t>
  </si>
  <si>
    <t>Realização de 15 cursos/palestras técnicas</t>
  </si>
  <si>
    <t>Realizar cursos, palestras e seminários na capital e no interior do Estado, com conteúdo técnico voltado para aperfeiçoamento do profissional Arquiteto e Urbanista</t>
  </si>
  <si>
    <t>Criação de 3 cartilhas</t>
  </si>
  <si>
    <t>Criar cartilhas para disseminar informações aos profissionais e a sociedade</t>
  </si>
  <si>
    <t>Contratação de uma pessoa jurídica  para prestar serviços em comunicação, abarcando a criação e publicação de 540 post nas mídias sociais do Conselho</t>
  </si>
  <si>
    <t>levantar necessidades, gerando conteúdos para publicação  no site e nas mídias sociais 540 posts com informações da arquitetura e urbanismo e, também,  sobre as ações do Conselho.</t>
  </si>
  <si>
    <t>Elaborar cartilhas elucidativas sobre a atividade profissional em arquitetura e urbanismo</t>
  </si>
  <si>
    <t>3 cartilhas/ano</t>
  </si>
  <si>
    <t>Criar conteúdos de fácil assimilação sobre a atividade profissional em arquitetura e urbanismo voltados para a sociedade, estudantes e profissionais.</t>
  </si>
  <si>
    <t>Incentivar a atualização de dados cadastrais de profissionais</t>
  </si>
  <si>
    <t>2 campanhas/ano</t>
  </si>
  <si>
    <t>Estruturar campanha de sensibilização para promoção da atualização dos dados cadastrais dos profissionais</t>
  </si>
  <si>
    <t>Aplicar pesquisa de satisfação de atendimento do público externo.</t>
  </si>
  <si>
    <t>30 pesquisas/mês</t>
  </si>
  <si>
    <t>Aplicar pesquisas de satisfação de atendimento após conclusão de demandas.</t>
  </si>
  <si>
    <t>Realizar ações de atendimento presencial em empresas com considerável concentração de A&amp;U</t>
  </si>
  <si>
    <t>3 ações/ano</t>
  </si>
  <si>
    <t>Identificar empresas com considerável concentração de arquitetos e realizar ações de atendimento presencial para promover solução de demandas.</t>
  </si>
  <si>
    <t>Catalogar os procedimentos operacionais vinculados aos serviços prestados à pessoa física</t>
  </si>
  <si>
    <t>1 PO/mês</t>
  </si>
  <si>
    <t>Catalogar, detalhadamente, os procedimentos operacionais vinculados aos serviços prestados às pessoas físicas.</t>
  </si>
  <si>
    <t>Ampliar oferta de serviços prestados mediante empresas conveniadas</t>
  </si>
  <si>
    <t>6 parcerias/ano</t>
  </si>
  <si>
    <t>Firmar parcerias com empresas prestadoras de serviços</t>
  </si>
  <si>
    <t>Analisar a conformidade dos registros de empresas para efeito de fiscalização em sistema, em relação a existência de Responsável Técnico</t>
  </si>
  <si>
    <t>50 Relatórios de Fiscalização</t>
  </si>
  <si>
    <t>A partir de relatório SICCAU, identificar PJ com registro ativo, sem responsável técnico. Recepcionar demandas da GETEC de baixas de resp. técnica pelo profissional. Acompanhar regularização. Lavrar auto de infração para PJ não regularizadas.</t>
  </si>
  <si>
    <t>Pesquisar cenários, segmentos, localizações de áreas potencialmente fiscalizáveis</t>
  </si>
  <si>
    <t>Propor fiscalização Preventiva em 10 potenciais empreendimentos</t>
  </si>
  <si>
    <t>Enviar ofícios, agendar visitas e reuniões com gestores dos empreendimentos. Pesquisar RRT's no SICCAU referentes ao empreendimento</t>
  </si>
  <si>
    <t>Fiscalizar Empresas registradas na JUCEB não registradas no CAU</t>
  </si>
  <si>
    <t>200 Notificações Preventivas</t>
  </si>
  <si>
    <t>Verificar Registro de PJ através do cruzamento de dados do SICCAU com listas de PJ cadastradas na JUCEB com atividades de arquitetura e urbanismo. Emitir Not Prev. Acompanhar regularização. Lavrar auto de infração para PJ não regularizadas.</t>
  </si>
  <si>
    <t>Fiscalizar processos de licenciamento de obras particulares nos diversos municípios</t>
  </si>
  <si>
    <t>150 Processos.</t>
  </si>
  <si>
    <t>Enviar ofícios à Municípios para início de Ação de fiscalização. Agendar Ação contemplando vista aos processos. Elaborar relatórios. Verificar irregularidades. Emitir notificação preventiva para regularização.</t>
  </si>
  <si>
    <t>Fiscalizar RRT mínimos elaborados indevidamente</t>
  </si>
  <si>
    <t xml:space="preserve">100 RRT's </t>
  </si>
  <si>
    <t>Levantar no SICCAU quantitativo de RRT’ mínimos. Transferir para planilha excel. Analisar quantitativo por profissional (definir parâmetro de malha). Encaminhar Ofício ao profissional solicitando esclarecimento. Analisar necessidade de diligência em campo</t>
  </si>
  <si>
    <t>Fiscalizar espaços de acesso ao público com relação a acessibilidade</t>
  </si>
  <si>
    <t>2 Vistorias</t>
  </si>
  <si>
    <t>Elaborar agenda de fiscalização (Shoppings – Estações de Transbordo /Escolas). Notificação ou documento ordenatório de regularização, com
solicitação do projeto para
regularização e indicações
dos prazos de execução.</t>
  </si>
  <si>
    <t>Divulgar o Projeto CAU MAIS PERTO.</t>
  </si>
  <si>
    <t>Elaborar 04 - Chamadas Digitais em facebook, instagram e home page informando sobre o projeto/ realizar 03 oficinas presenciais com arquitetos e urbanistas; realizar 02 reuniões estratégicas institucionais;</t>
  </si>
  <si>
    <t>sensibilizar sobre a importância da interiorização da ação mediante colaboração com profissinais locais</t>
  </si>
  <si>
    <t>Levantar dados, realizar pesquisas para construção do edital.</t>
  </si>
  <si>
    <t>Realizar pesquisas bibliográficas - balizadores legais, em, até  10 normativos de  referência/ pesquisas experiências de outras entidades - até 03 entidades;</t>
  </si>
  <si>
    <t>estruturar o termo de referência que balizará o credenciamento</t>
  </si>
  <si>
    <t>Gilcinea Barbosa</t>
  </si>
  <si>
    <t>Projeto</t>
  </si>
  <si>
    <t>Valores verbas indenizatórias: Vale Transporte - R$ 25.410,00; Alimentação - R$ 79.860,00; e Auxílio Saúde - R$ 50.820,00</t>
  </si>
  <si>
    <t>R</t>
  </si>
  <si>
    <t>Gilcinéa Barbosa</t>
  </si>
  <si>
    <t>Atividade</t>
  </si>
  <si>
    <t>Andrea Noronha</t>
  </si>
  <si>
    <t>Márcia Santiago</t>
  </si>
  <si>
    <t>Ralfe Vinhas</t>
  </si>
  <si>
    <t>Francilice Pereira</t>
  </si>
  <si>
    <t>Eunice Alves Gusmão</t>
  </si>
  <si>
    <t>Saul Kaminsky Bernfeld Oliveira</t>
  </si>
  <si>
    <t>Ernesto Regino Xavier de Carvalho</t>
  </si>
  <si>
    <t>Bruno Santa Fé</t>
  </si>
  <si>
    <t>Neilton Dórea Rodrigues de Oliveira</t>
  </si>
  <si>
    <t>Ana Paula Couto</t>
  </si>
  <si>
    <t>Milena Chaves</t>
  </si>
  <si>
    <t>12 parcelas</t>
  </si>
  <si>
    <t>Viabilização do Fundo de Apoio ao Sistema CAU com pagamento em 12 parcelas Manter o percentual definido nas diretrizes estabelecidas pelo CAU/BR</t>
  </si>
  <si>
    <t>Ralfe  Vinhas</t>
  </si>
  <si>
    <t>Pesquisa e compra de imóvel sede para o CONSELHO.</t>
  </si>
  <si>
    <t>Aquisição de 01 imóvel pasa sediar o CAU/BA, de no mínimo 300m2 até agosto de 2019</t>
  </si>
  <si>
    <t>Adquirir o imóvel no prazo especificado</t>
  </si>
  <si>
    <t>Realizar reforma da nova sede</t>
  </si>
  <si>
    <t>04meses</t>
  </si>
  <si>
    <t>Realizar a reforma da nova sede dentro do prazo especificado</t>
  </si>
  <si>
    <t>AT</t>
  </si>
  <si>
    <t>Assessoria técnica da comissão de ética e disciplina para a instauração, instrução e julgamento dos processos éticos-disciplinares, para a aplicação e execução das sanções, para pedido de revisão e para reabilitação profissional, conforme a lei 12.378/2010, a resolução 52/2013 (código de ética do arquiteto e urbanista) e a resolução 143/2017 (normas de condução de processo ético-disciplinar.</t>
  </si>
  <si>
    <t>Orientações sobre o cadastramento da ies no siccau</t>
  </si>
  <si>
    <t>Orientações sobre tempestividade</t>
  </si>
  <si>
    <t>Pesquisas no e-mec e atualização dos dados das ies</t>
  </si>
  <si>
    <t>Orientações sobre o cadastramento de RRT de cargo e função</t>
  </si>
  <si>
    <t>Instauração de 10 processos ético-disciplinar mediante representação.</t>
  </si>
  <si>
    <t>Instauração de 7 processos ético-disciplinar de ofício, em razão do conhecimento do fato por meio da fiscalização (oriundo da cep/ba), de comunicação de autoridade competente, de denúncia de fonte não identificada ou de qualquer outra fonte idônea.</t>
  </si>
  <si>
    <t>Cumprir 17 diligências determinadas pelos relatores dos processos éticos-disciplinares.</t>
  </si>
  <si>
    <t>Planejamento, condução e finalização da fase de instrução de 42 processos éticos-disciplinares</t>
  </si>
  <si>
    <t>Execução da sanção de 32 processos éticos</t>
  </si>
  <si>
    <t>Administração do módulo de processos éticos-disciplinares no siccau.</t>
  </si>
  <si>
    <t>Participação em 4 treinamentos.</t>
  </si>
  <si>
    <t>Apoio aos coordenadores de curso de arquitetura e urbanismo no cadastramento das 33 ies's no cau/br</t>
  </si>
  <si>
    <t>11 acompanhamento da abertura de novos cursos de arquitetura e urbanismo na bahia no e-mec</t>
  </si>
  <si>
    <t>Instauração de  processos ético-disciplinar mediante representação.</t>
  </si>
  <si>
    <t>Instauração de processos ético-disciplinar de ofício, em razão do conhecimento do fato por meio da fiscalização (oriundo da cep/ba), de comunicação de autoridade competente, de denúncia de fonte não identificada ou de qualquer outra fonte idônea.</t>
  </si>
  <si>
    <t>Cumprir  diligências determinadas pelos relatores dos processos éticos-disciplinares</t>
  </si>
  <si>
    <t>Planejamento, condução e finalização da fase de instrução de  processos éticos-disciplinares</t>
  </si>
  <si>
    <t>Execução da sanção de  processos éticos</t>
  </si>
  <si>
    <t>Participação em treinamentos.</t>
  </si>
  <si>
    <t>Acompanhamento do cadastramento de rrt's de cargo e função dos coordenadores de curso de arquitetura e urbanismo na bahia</t>
  </si>
  <si>
    <t>Apoio aos coordenadores de curso de arquitetura e urbanismo no cadastramento das ies's no cau/br</t>
  </si>
  <si>
    <t>Acompanhamento da abertura de novos cursos de arquitetura e urbanismo na bahia no e-mec</t>
  </si>
  <si>
    <t>33 acompanhamentos DO cadastramento de 33  RRT'S de cargo e função dos coordenadores de curso de ARQUITETURA E URBANISMO NA BAHIA</t>
  </si>
  <si>
    <t>Acompanhamentos DA tempestividade dos cursos de ARQUITETURA E URBANISMO NA BAHIA JUNTO A CEF/BR</t>
  </si>
  <si>
    <t>Administração do módulo de processos éticos-disciplinares no SICCAU.</t>
  </si>
  <si>
    <t>42 acompanhamento da tempestividade dos cursos de arquitetura e urbanismo na bahia junto a CEF/BR</t>
  </si>
  <si>
    <t>Maria do Amparo</t>
  </si>
  <si>
    <t>Falta Influenciar as diretrizes do ensino de Arquitetura e Urbanismo e sua formação continuada/Assegurar a eficácia no relacionamento e comunicação com a sociedade/ Promover o exercício ético e qualificado da profissão.</t>
  </si>
  <si>
    <t>Página:1/1</t>
  </si>
  <si>
    <t>Impresso em: 22/08/2019 10:39</t>
  </si>
  <si>
    <t>ATIVIDADE - Atendimento da Sociedade e Arquitetos e Urbanistas</t>
  </si>
  <si>
    <t>GERÊNCIA DE ATENDIMENTO</t>
  </si>
  <si>
    <t>ATIVIDADE - Cumprimento do Plano de Fiscalização</t>
  </si>
  <si>
    <t>GERÊNCIA DE FISCALIZAÇÃO</t>
  </si>
  <si>
    <t>ATIVIDADE - Consultoria e Assessoria Jurídica</t>
  </si>
  <si>
    <t>ASSESSORIA JURIDICA</t>
  </si>
  <si>
    <t>ATIVIDADE - CSC - Atendimento</t>
  </si>
  <si>
    <t>ATIVIDADE - CSC - Fiscalização</t>
  </si>
  <si>
    <t>PROJETO - Aquisição de equipamentos</t>
  </si>
  <si>
    <t>ATIVIDADE - Aporte ao Fundo de Apoio</t>
  </si>
  <si>
    <t>ATIVIDADE - Manutenção Administrativa Financeira</t>
  </si>
  <si>
    <t>GERÊNCIA ADMINISTRATIVA FINANCEIRA</t>
  </si>
  <si>
    <t>ATIVIDADE - Operacionalização dos processos éticos e de multa/fiscalização</t>
  </si>
  <si>
    <t>GERÊNCIA DE OPERAÇÕES</t>
  </si>
  <si>
    <t>ATIVIDADE - Atendimento da sociedade e cumprimento do plano de ação</t>
  </si>
  <si>
    <t>GERÊNCIA TÉCNICA E DE FISCALIZAÇÃO</t>
  </si>
  <si>
    <t>ATIVIDADE - Operacionalização das Reuniões Institucionais Regimentais</t>
  </si>
  <si>
    <t>PLENÁRIA</t>
  </si>
  <si>
    <t>ATIVIDADE - Manutenção Institucional</t>
  </si>
  <si>
    <t>ATIVIDADE - Programa de Capacitação de Colaboradores</t>
  </si>
  <si>
    <t>PROJETO - Comunicação Institucional</t>
  </si>
  <si>
    <t>PROJETO - APC - Aperfeiçoamento Profissional Continuado</t>
  </si>
  <si>
    <t>DIREÇÃO GERAL</t>
  </si>
  <si>
    <t>PROJETO - CAU/BA Mais Perto</t>
  </si>
  <si>
    <t>PROJETO - Concurso Público</t>
  </si>
  <si>
    <t>PROJETO - Reforma Sede CAU/BA</t>
  </si>
  <si>
    <t>PROJETO - Aquisição sede CAU/BA</t>
  </si>
  <si>
    <t>ATIVIDADE - Articulação Institucional e fomento de parcerias estratégicas</t>
  </si>
  <si>
    <t>PROJETO - Dia do Arquiteto</t>
  </si>
  <si>
    <t>PROJETO - Patrocínio</t>
  </si>
  <si>
    <t xml:space="preserve"> GABINETE DA PRESIDÊNCIA</t>
  </si>
  <si>
    <t xml:space="preserve"> UNIDADES OPERACIONAIS</t>
  </si>
  <si>
    <t>PROJETO - Programa de Assistência Técnica</t>
  </si>
  <si>
    <t>COMISSÃO DE ASSISTÊNCIA TÉCNICA</t>
  </si>
  <si>
    <t>ATIVIDADE - Assessoramento organizacional - institucional</t>
  </si>
  <si>
    <t xml:space="preserve"> COMISSÃO DE ATOS ADMINISTRATIVOS (CAA)</t>
  </si>
  <si>
    <t>ATIVIDADE - Operacionalização, planejamento e controle do CAU/BA</t>
  </si>
  <si>
    <t xml:space="preserve"> COMISSÃO DE PLANEJAMENTO E FINANÇAS (CPF)</t>
  </si>
  <si>
    <t>ATIVIDADE - Operacionalização da fiscalização e fomento da valorização profissional</t>
  </si>
  <si>
    <t xml:space="preserve"> COMISSÃO DE EXERCÍCIO PROFISSIONAL E DE FISCALIZAÇÃO(CEPF)</t>
  </si>
  <si>
    <t>ATIVIDADE - Operacionalização e processamento dos processos éticos</t>
  </si>
  <si>
    <t xml:space="preserve"> COMISSÃO DE ÉTICA</t>
  </si>
  <si>
    <t>ATIVIDADE - Fomento ao aperfeiçoamento e à formação profissional</t>
  </si>
  <si>
    <t xml:space="preserve"> COMISSÃO DE ENSINO </t>
  </si>
  <si>
    <t xml:space="preserve"> COMISSÕES PERMANENTES</t>
  </si>
  <si>
    <t>A Pagar</t>
  </si>
  <si>
    <t>A Liquidar</t>
  </si>
  <si>
    <t>Orçamento</t>
  </si>
  <si>
    <t>Exercício</t>
  </si>
  <si>
    <t>Período</t>
  </si>
  <si>
    <t>Orçado</t>
  </si>
  <si>
    <t>Centro de Custo</t>
  </si>
  <si>
    <t>SALDOS</t>
  </si>
  <si>
    <t>PAGAMENTOS</t>
  </si>
  <si>
    <t>LIQUIDAÇÕES</t>
  </si>
  <si>
    <t>EMPENHOS</t>
  </si>
  <si>
    <t>Todos os centros de custos</t>
  </si>
  <si>
    <t>Demonstrativo de Empenhos e Pagamentos</t>
  </si>
  <si>
    <t>Período: 01/01/2019 a 31/05/2019</t>
  </si>
  <si>
    <t>CNPJ: 15.158.665/0001-03</t>
  </si>
  <si>
    <t>Conselho de Arquitetura e Urbanismo do Estado da Bahia</t>
  </si>
  <si>
    <t>CAU - BA</t>
  </si>
  <si>
    <t>SISCONT</t>
  </si>
  <si>
    <t>Ajustes</t>
  </si>
  <si>
    <t>Justificativas/Comentários</t>
  </si>
  <si>
    <t>N</t>
  </si>
  <si>
    <t>Reserva de Contingência</t>
  </si>
  <si>
    <t>Suportar eventuais ações estratégicas não contempladas no PA</t>
  </si>
  <si>
    <t>Possibilitar a aplicação de recursos em ações não contempladas no PA</t>
  </si>
  <si>
    <t>Reserva de contingência</t>
  </si>
  <si>
    <t>Reserva de 60.000,00 para ações não previstas no PA</t>
  </si>
  <si>
    <t xml:space="preserve">Suportar eventuais ações estratégicas não contempladas no PA </t>
  </si>
  <si>
    <t>No item 1.3 Outras Receitas, estão a entrada de recursos referente ao encontro de contas (R$ 12.886,00) e volar da RIA (R$ 30.314,00)</t>
  </si>
  <si>
    <t>CSC - Fiscalização</t>
  </si>
  <si>
    <t xml:space="preserve">Aquisição da licença de utilização dos sistemas e aplicativos voltados a fiscalização, com pagamentos em 12 parcelas mensais </t>
  </si>
  <si>
    <t>Ralfe vinhas</t>
  </si>
  <si>
    <t>Gerência Administrativa e Financeira</t>
  </si>
  <si>
    <t>CSC - Atendimento</t>
  </si>
  <si>
    <t>Aquisição da licença de utilização dos sistemas e aplicativos voltados ao atendimento, com pagamentos em 12 parcelas mensais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</si>
</sst>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4" formatCode="_-&quot;R$&quot;\ * #,##0.00_-;\-&quot;R$&quot;\ * #,##0.00_-;_-&quot;R$&quot;\ * &quot;-&quot;??_-;_-@_-"/>
    <numFmt numFmtId="43" formatCode="_-* #,##0.00_-;\-* #,##0.00_-;_-* &quot;-&quot;??_-;_-@_-"/>
    <numFmt numFmtId="164" formatCode="_(* #,##0.00_);_(* \(#,##0.00\);_(* &quot;-&quot;??_);_(@_)"/>
    <numFmt numFmtId="165" formatCode="0.0"/>
    <numFmt numFmtId="166" formatCode="#,##0.0"/>
    <numFmt numFmtId="167" formatCode="_-&quot;R$&quot;\ * #,##0_-;\-&quot;R$&quot;\ * #,##0_-;_-&quot;R$&quot;\ * &quot;-&quot;??_-;_-@_-"/>
    <numFmt numFmtId="168" formatCode="#,##0.0_ ;\-#,##0.0\ "/>
    <numFmt numFmtId="169" formatCode="0.0%"/>
    <numFmt numFmtId="170" formatCode="_-* #,##0_-;\-* #,##0_-;_-* &quot;-&quot;??_-;_-@_-"/>
    <numFmt numFmtId="171" formatCode="_(* #,##0_);_(* \(#,##0\);_(* &quot;-&quot;??_);_(@_)"/>
    <numFmt numFmtId="172" formatCode="_(* #,##0.0_);_(* \(#,##0.0\);_(* &quot;-&quot;??_);_(@_)"/>
    <numFmt numFmtId="173" formatCode="_-* #,##0.0_-;\-* #,##0.0_-;_-* &quot;-&quot;_-;_-@_-"/>
    <numFmt numFmtId="174" formatCode="#,##0_ ;\-#,##0\ "/>
    <numFmt numFmtId="175" formatCode="_-* #,##0.0_-;\-* #,##0.0_-;_-* &quot;-&quot;??_-;_-@_-"/>
    <numFmt numFmtId="176" formatCode="_-* #,##0.00_-;\-* #,##0.00_-;_-* &quot;-&quot;_-;_-@_-"/>
  </numFmts>
  <fonts count="109" x14ac:knownFonts="1">
    <font>
      <sz val="11"/>
      <color theme="1"/>
      <name val="Calibri"/>
      <family val="2"/>
      <scheme val="minor"/>
    </font>
    <font>
      <b/>
      <sz val="14"/>
      <name val="Arial"/>
      <family val="2"/>
    </font>
    <font>
      <sz val="12"/>
      <color indexed="81"/>
      <name val="Tahoma"/>
      <family val="2"/>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1"/>
      <color theme="1"/>
      <name val="Arial"/>
      <family val="2"/>
    </font>
    <font>
      <sz val="11"/>
      <color theme="1" tint="0.499984740745262"/>
      <name val="Calibri"/>
      <family val="2"/>
      <scheme val="minor"/>
    </font>
    <font>
      <sz val="20"/>
      <color theme="1"/>
      <name val="Calibri"/>
      <family val="2"/>
      <scheme val="minor"/>
    </font>
    <font>
      <b/>
      <sz val="13"/>
      <color theme="1"/>
      <name val="Calibri"/>
      <family val="2"/>
      <scheme val="minor"/>
    </font>
    <font>
      <b/>
      <sz val="14"/>
      <color theme="1"/>
      <name val="Calibri"/>
      <family val="2"/>
      <scheme val="minor"/>
    </font>
    <font>
      <sz val="11"/>
      <color rgb="FF006100"/>
      <name val="Calibri"/>
      <family val="2"/>
      <scheme val="minor"/>
    </font>
    <font>
      <sz val="11"/>
      <color rgb="FF9C6500"/>
      <name val="Calibri"/>
      <family val="2"/>
      <scheme val="minor"/>
    </font>
    <font>
      <sz val="14"/>
      <color theme="1"/>
      <name val="Calibri"/>
      <family val="2"/>
      <scheme val="minor"/>
    </font>
    <font>
      <sz val="12"/>
      <color rgb="FF006100"/>
      <name val="Calibri"/>
      <family val="2"/>
      <scheme val="minor"/>
    </font>
    <font>
      <sz val="13"/>
      <color theme="1"/>
      <name val="Calibri"/>
      <family val="2"/>
      <scheme val="minor"/>
    </font>
    <font>
      <sz val="13"/>
      <color rgb="FF006100"/>
      <name val="Calibri"/>
      <family val="2"/>
      <scheme val="minor"/>
    </font>
    <font>
      <sz val="13"/>
      <color rgb="FF9C6500"/>
      <name val="Calibri"/>
      <family val="2"/>
      <scheme val="minor"/>
    </font>
    <font>
      <b/>
      <sz val="14"/>
      <color rgb="FF000000"/>
      <name val="Arial Narrow"/>
      <family val="2"/>
    </font>
    <font>
      <sz val="14"/>
      <color theme="1"/>
      <name val="Arial Narrow"/>
      <family val="2"/>
    </font>
    <font>
      <sz val="13"/>
      <color theme="1"/>
      <name val="Arial Narrow"/>
      <family val="2"/>
    </font>
    <font>
      <sz val="14"/>
      <color rgb="FF000000"/>
      <name val="Calibri"/>
      <family val="2"/>
      <scheme val="minor"/>
    </font>
    <font>
      <b/>
      <sz val="14"/>
      <color rgb="FF000000"/>
      <name val="Calibri"/>
      <family val="2"/>
      <scheme val="minor"/>
    </font>
    <font>
      <sz val="9"/>
      <color theme="1"/>
      <name val="Arial Narrow"/>
      <family val="2"/>
    </font>
    <font>
      <b/>
      <sz val="9"/>
      <color theme="1"/>
      <name val="Arial Narrow"/>
      <family val="2"/>
    </font>
    <font>
      <sz val="12"/>
      <name val="Calibri"/>
      <family val="2"/>
      <scheme val="minor"/>
    </font>
    <font>
      <b/>
      <sz val="11"/>
      <color theme="0"/>
      <name val="Calibri"/>
      <family val="2"/>
      <scheme val="minor"/>
    </font>
    <font>
      <b/>
      <sz val="16"/>
      <color theme="0"/>
      <name val="Calibri"/>
      <family val="2"/>
      <scheme val="minor"/>
    </font>
    <font>
      <b/>
      <sz val="12"/>
      <color theme="0"/>
      <name val="Calibri"/>
      <family val="2"/>
      <scheme val="minor"/>
    </font>
    <font>
      <b/>
      <sz val="14"/>
      <color theme="0"/>
      <name val="Calibri"/>
      <family val="2"/>
      <scheme val="minor"/>
    </font>
    <font>
      <b/>
      <sz val="20"/>
      <color theme="1"/>
      <name val="Calibri"/>
      <family val="2"/>
      <scheme val="minor"/>
    </font>
    <font>
      <b/>
      <sz val="20"/>
      <color theme="0" tint="-4.9989318521683403E-2"/>
      <name val="Calibri"/>
      <family val="2"/>
      <scheme val="minor"/>
    </font>
    <font>
      <sz val="21"/>
      <color theme="1"/>
      <name val="Calibri"/>
      <family val="2"/>
      <scheme val="minor"/>
    </font>
    <font>
      <b/>
      <sz val="20"/>
      <color theme="0"/>
      <name val="Calibri"/>
      <family val="2"/>
      <scheme val="minor"/>
    </font>
    <font>
      <b/>
      <sz val="16"/>
      <name val="Calibri"/>
      <family val="2"/>
      <scheme val="minor"/>
    </font>
    <font>
      <sz val="12"/>
      <color theme="0"/>
      <name val="Arial"/>
      <family val="2"/>
    </font>
    <font>
      <b/>
      <sz val="13"/>
      <name val="Arial"/>
      <family val="2"/>
    </font>
    <font>
      <b/>
      <sz val="13"/>
      <name val="Calibri"/>
      <family val="2"/>
      <scheme val="minor"/>
    </font>
    <font>
      <b/>
      <sz val="14"/>
      <name val="Calibri"/>
      <family val="2"/>
      <scheme val="minor"/>
    </font>
    <font>
      <b/>
      <sz val="14"/>
      <color theme="0"/>
      <name val="Arial Narrow"/>
      <family val="2"/>
    </font>
    <font>
      <sz val="12"/>
      <color rgb="FF000000"/>
      <name val="Calibri"/>
      <family val="2"/>
    </font>
    <font>
      <sz val="9"/>
      <color indexed="81"/>
      <name val="Tahoma"/>
      <family val="2"/>
    </font>
    <font>
      <b/>
      <sz val="9"/>
      <color indexed="81"/>
      <name val="Tahoma"/>
      <family val="2"/>
    </font>
    <font>
      <b/>
      <sz val="10"/>
      <color indexed="81"/>
      <name val="Tahoma"/>
      <family val="2"/>
    </font>
    <font>
      <b/>
      <sz val="12"/>
      <color indexed="81"/>
      <name val="Tahoma"/>
      <family val="2"/>
    </font>
    <font>
      <sz val="13"/>
      <color indexed="81"/>
      <name val="Tahoma"/>
      <family val="2"/>
    </font>
    <font>
      <b/>
      <sz val="13"/>
      <color indexed="81"/>
      <name val="Tahoma"/>
      <family val="2"/>
    </font>
    <font>
      <b/>
      <sz val="22"/>
      <name val="Calibri"/>
      <family val="2"/>
      <scheme val="minor"/>
    </font>
    <font>
      <b/>
      <sz val="11"/>
      <color indexed="81"/>
      <name val="Tahoma"/>
      <family val="2"/>
    </font>
    <font>
      <sz val="12"/>
      <color theme="1"/>
      <name val="Cambria"/>
      <family val="1"/>
    </font>
    <font>
      <b/>
      <sz val="12"/>
      <color indexed="10"/>
      <name val="Tahoma"/>
      <family val="2"/>
    </font>
    <font>
      <b/>
      <sz val="9"/>
      <color indexed="81"/>
      <name val="Segoe UI"/>
      <family val="2"/>
    </font>
    <font>
      <b/>
      <sz val="14"/>
      <color indexed="81"/>
      <name val="Segoe UI"/>
      <family val="2"/>
    </font>
    <font>
      <sz val="9"/>
      <color indexed="81"/>
      <name val="Segoe UI"/>
      <family val="2"/>
    </font>
    <font>
      <b/>
      <sz val="16"/>
      <color indexed="81"/>
      <name val="Segoe UI"/>
      <family val="2"/>
    </font>
    <font>
      <sz val="20"/>
      <color theme="1" tint="0.499984740745262"/>
      <name val="Calibri"/>
      <family val="2"/>
      <scheme val="minor"/>
    </font>
    <font>
      <b/>
      <sz val="12"/>
      <color indexed="81"/>
      <name val="Segoe UI"/>
      <family val="2"/>
    </font>
    <font>
      <b/>
      <sz val="12"/>
      <color rgb="FFFFFFFF"/>
      <name val="Calibri"/>
      <family val="2"/>
    </font>
    <font>
      <sz val="10"/>
      <color rgb="FF000000"/>
      <name val="Calibri"/>
      <family val="2"/>
    </font>
    <font>
      <sz val="20"/>
      <name val="Calibri"/>
      <family val="2"/>
      <scheme val="minor"/>
    </font>
    <font>
      <b/>
      <sz val="20"/>
      <name val="Calibri"/>
      <family val="2"/>
      <scheme val="minor"/>
    </font>
    <font>
      <sz val="20"/>
      <color rgb="FF203764"/>
      <name val="Calibri"/>
      <family val="2"/>
      <scheme val="minor"/>
    </font>
    <font>
      <sz val="12"/>
      <color indexed="81"/>
      <name val="Segoe UI"/>
      <family val="2"/>
    </font>
    <font>
      <b/>
      <sz val="12"/>
      <color rgb="FF000000"/>
      <name val="Calibri"/>
      <family val="2"/>
    </font>
    <font>
      <sz val="14"/>
      <name val="Calibri"/>
      <family val="2"/>
      <scheme val="minor"/>
    </font>
    <font>
      <b/>
      <sz val="14"/>
      <color rgb="FFFF0000"/>
      <name val="Calibri"/>
      <family val="2"/>
    </font>
    <font>
      <b/>
      <sz val="14"/>
      <color indexed="21"/>
      <name val="Calibri"/>
      <family val="2"/>
    </font>
    <font>
      <b/>
      <sz val="14"/>
      <color indexed="10"/>
      <name val="Calibri"/>
      <family val="2"/>
    </font>
    <font>
      <b/>
      <sz val="14"/>
      <color indexed="8"/>
      <name val="Calibri"/>
      <family val="2"/>
    </font>
    <font>
      <b/>
      <sz val="14"/>
      <color indexed="57"/>
      <name val="Calibri"/>
      <family val="2"/>
    </font>
    <font>
      <b/>
      <sz val="14"/>
      <color rgb="FF008080"/>
      <name val="Calibri"/>
      <family val="2"/>
      <scheme val="minor"/>
    </font>
    <font>
      <sz val="11"/>
      <color indexed="81"/>
      <name val="Tahoma"/>
      <family val="2"/>
    </font>
    <font>
      <b/>
      <sz val="14"/>
      <color rgb="FF008080"/>
      <name val="Calibri"/>
      <family val="2"/>
    </font>
    <font>
      <b/>
      <sz val="10"/>
      <color indexed="81"/>
      <name val="Segoe UI"/>
      <family val="2"/>
    </font>
    <font>
      <b/>
      <sz val="18"/>
      <color indexed="81"/>
      <name val="Segoe UI"/>
      <family val="2"/>
    </font>
    <font>
      <sz val="18"/>
      <color indexed="81"/>
      <name val="Segoe UI"/>
      <family val="2"/>
    </font>
    <font>
      <sz val="16"/>
      <color indexed="81"/>
      <name val="Segoe UI"/>
      <family val="2"/>
    </font>
    <font>
      <b/>
      <sz val="22"/>
      <color indexed="81"/>
      <name val="Segoe UI"/>
      <family val="2"/>
    </font>
    <font>
      <b/>
      <sz val="18"/>
      <color indexed="81"/>
      <name val="Tahoma"/>
      <family val="2"/>
    </font>
    <font>
      <b/>
      <sz val="22"/>
      <color indexed="81"/>
      <name val="Tahoma"/>
      <family val="2"/>
    </font>
    <font>
      <sz val="22"/>
      <color indexed="81"/>
      <name val="Tahoma"/>
      <family val="2"/>
    </font>
    <font>
      <b/>
      <vertAlign val="superscript"/>
      <sz val="20"/>
      <name val="Calibri"/>
      <family val="2"/>
      <scheme val="minor"/>
    </font>
    <font>
      <sz val="11"/>
      <color rgb="FF000000"/>
      <name val="Calibri"/>
      <family val="2"/>
      <charset val="1"/>
    </font>
    <font>
      <sz val="20"/>
      <name val="Calibri"/>
      <family val="2"/>
      <charset val="1"/>
    </font>
    <font>
      <b/>
      <sz val="20"/>
      <name val="Calibri"/>
      <family val="2"/>
      <charset val="1"/>
    </font>
    <font>
      <b/>
      <sz val="20"/>
      <name val="Calibri"/>
      <family val="2"/>
    </font>
    <font>
      <b/>
      <vertAlign val="superscript"/>
      <sz val="20"/>
      <name val="Calibri"/>
      <family val="2"/>
    </font>
    <font>
      <sz val="20"/>
      <name val="Arial"/>
      <family val="2"/>
    </font>
    <font>
      <b/>
      <sz val="20"/>
      <color theme="8" tint="-0.499984740745262"/>
      <name val="Calibri"/>
      <family val="2"/>
      <scheme val="minor"/>
    </font>
    <font>
      <sz val="18"/>
      <color theme="1"/>
      <name val="Calibri"/>
      <family val="2"/>
      <scheme val="minor"/>
    </font>
    <font>
      <vertAlign val="superscript"/>
      <sz val="28"/>
      <color rgb="FFFF0000"/>
      <name val="Calibri"/>
      <family val="2"/>
      <scheme val="minor"/>
    </font>
    <font>
      <sz val="20"/>
      <color rgb="FF000000"/>
      <name val="Arial"/>
      <family val="2"/>
    </font>
    <font>
      <sz val="12"/>
      <color rgb="FF000000"/>
      <name val="Calibri"/>
      <family val="2"/>
      <scheme val="minor"/>
    </font>
    <font>
      <sz val="11"/>
      <color rgb="FF000000"/>
      <name val="Calibri"/>
      <family val="2"/>
    </font>
    <font>
      <sz val="8"/>
      <color rgb="FF434343"/>
      <name val="Tahoma"/>
      <family val="2"/>
    </font>
    <font>
      <sz val="7"/>
      <color rgb="FF000000"/>
      <name val="Tahoma"/>
      <family val="2"/>
    </font>
    <font>
      <sz val="8"/>
      <color rgb="FF000000"/>
      <name val="Tahoma"/>
      <family val="2"/>
    </font>
    <font>
      <b/>
      <sz val="9.75"/>
      <color rgb="FFFFFFFF"/>
      <name val="Tahoma"/>
      <family val="2"/>
    </font>
    <font>
      <sz val="11"/>
      <color rgb="FF434343"/>
      <name val="Tahoma"/>
      <family val="2"/>
    </font>
    <font>
      <sz val="14.75"/>
      <color rgb="FF434343"/>
      <name val="Tahoma"/>
      <family val="2"/>
    </font>
    <font>
      <sz val="9.75"/>
      <color rgb="FF000000"/>
      <name val="Tahoma"/>
      <family val="2"/>
    </font>
    <font>
      <sz val="9.75"/>
      <color rgb="FFFFFFFF"/>
      <name val="Times New Roman"/>
      <family val="1"/>
    </font>
    <font>
      <sz val="12"/>
      <color rgb="FF434343"/>
      <name val="Tahoma"/>
      <family val="2"/>
    </font>
    <font>
      <sz val="9.75"/>
      <color rgb="FF000000"/>
      <name val="Times New Roman"/>
      <family val="1"/>
    </font>
    <font>
      <sz val="18"/>
      <color rgb="FF434343"/>
      <name val="Tahoma"/>
      <family val="2"/>
    </font>
    <font>
      <sz val="20"/>
      <color theme="0"/>
      <name val="Calibri"/>
      <family val="2"/>
      <scheme val="minor"/>
    </font>
    <font>
      <sz val="11"/>
      <color theme="0"/>
      <name val="Calibri"/>
      <family val="2"/>
      <scheme val="minor"/>
    </font>
  </fonts>
  <fills count="2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94BAC3"/>
        <bgColor indexed="64"/>
      </patternFill>
    </fill>
    <fill>
      <patternFill patternType="solid">
        <fgColor rgb="FF5286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EB9C"/>
      </patternFill>
    </fill>
    <fill>
      <patternFill patternType="solid">
        <fgColor rgb="FF008080"/>
        <bgColor indexed="64"/>
      </patternFill>
    </fill>
    <fill>
      <patternFill patternType="solid">
        <fgColor rgb="FFFFFF00"/>
        <bgColor indexed="64"/>
      </patternFill>
    </fill>
    <fill>
      <patternFill patternType="solid">
        <fgColor rgb="FF009999"/>
        <bgColor indexed="64"/>
      </patternFill>
    </fill>
    <fill>
      <patternFill patternType="solid">
        <fgColor rgb="FFBDD1C5"/>
        <bgColor indexed="64"/>
      </patternFill>
    </fill>
    <fill>
      <patternFill patternType="solid">
        <fgColor theme="2" tint="-9.9978637043366805E-2"/>
        <bgColor indexed="64"/>
      </patternFill>
    </fill>
    <fill>
      <patternFill patternType="lightGray">
        <bgColor rgb="FF009999"/>
      </patternFill>
    </fill>
    <fill>
      <patternFill patternType="solid">
        <fgColor rgb="FF008080"/>
        <bgColor rgb="FF000000"/>
      </patternFill>
    </fill>
    <fill>
      <patternFill patternType="solid">
        <fgColor theme="0" tint="-0.14999847407452621"/>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FFFFFF"/>
        <bgColor rgb="FFF2F2F2"/>
      </patternFill>
    </fill>
    <fill>
      <patternFill patternType="solid">
        <fgColor theme="0"/>
        <bgColor rgb="FFF2F2F2"/>
      </patternFill>
    </fill>
    <fill>
      <patternFill patternType="solid">
        <fgColor rgb="FFFF0000"/>
        <bgColor indexed="64"/>
      </patternFill>
    </fill>
    <fill>
      <patternFill patternType="solid">
        <fgColor rgb="FFEAEAEA"/>
      </patternFill>
    </fill>
    <fill>
      <patternFill patternType="solid">
        <fgColor rgb="FF4682B4"/>
      </patternFill>
    </fill>
    <fill>
      <patternFill patternType="solid">
        <fgColor rgb="FF92D050"/>
        <bgColor indexed="64"/>
      </patternFill>
    </fill>
  </fills>
  <borders count="67">
    <border>
      <left/>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medium">
        <color indexed="64"/>
      </right>
      <top/>
      <bottom/>
      <diagonal/>
    </border>
    <border>
      <left style="hair">
        <color indexed="64"/>
      </left>
      <right style="hair">
        <color indexed="64"/>
      </right>
      <top/>
      <bottom style="hair">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FFFF"/>
      </left>
      <right style="medium">
        <color rgb="FFFFFFFF"/>
      </right>
      <top style="medium">
        <color rgb="FFFFFFFF"/>
      </top>
      <bottom style="medium">
        <color rgb="FFFFFFFF"/>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medium">
        <color theme="0" tint="-0.14993743705557422"/>
      </bottom>
      <diagonal/>
    </border>
    <border>
      <left style="thin">
        <color auto="1"/>
      </left>
      <right/>
      <top style="thin">
        <color auto="1"/>
      </top>
      <bottom style="medium">
        <color theme="0" tint="-0.1499374370555742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diagonal/>
    </border>
    <border>
      <left/>
      <right/>
      <top style="thin">
        <color theme="1" tint="0.499984740745262"/>
      </top>
      <bottom/>
      <diagonal/>
    </border>
    <border>
      <left style="thin">
        <color theme="1" tint="0.499984740745262"/>
      </left>
      <right/>
      <top/>
      <bottom/>
      <diagonal/>
    </border>
    <border>
      <left style="thin">
        <color auto="1"/>
      </left>
      <right/>
      <top style="thin">
        <color auto="1"/>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right style="thin">
        <color theme="1" tint="0.499984740745262"/>
      </right>
      <top/>
      <bottom style="thin">
        <color indexed="64"/>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right style="thin">
        <color rgb="FFE5E5E5"/>
      </right>
      <top/>
      <bottom/>
      <diagonal/>
    </border>
    <border>
      <left style="thin">
        <color rgb="FFE5E5E5"/>
      </left>
      <right/>
      <top/>
      <bottom/>
      <diagonal/>
    </border>
    <border>
      <left/>
      <right style="thin">
        <color rgb="FFE5E5E5"/>
      </right>
      <top style="thin">
        <color rgb="FFE5E5E5"/>
      </top>
      <bottom style="thin">
        <color rgb="FFE5E5E5"/>
      </bottom>
      <diagonal/>
    </border>
    <border>
      <left style="thin">
        <color rgb="FFE5E5E5"/>
      </left>
      <right style="thin">
        <color rgb="FFE5E5E5"/>
      </right>
      <top style="thin">
        <color rgb="FFE5E5E5"/>
      </top>
      <bottom/>
      <diagonal/>
    </border>
  </borders>
  <cellStyleXfs count="10">
    <xf numFmtId="0" fontId="0" fillId="0" borderId="0"/>
    <xf numFmtId="0" fontId="13" fillId="9" borderId="0" applyNumberFormat="0" applyBorder="0" applyAlignment="0" applyProtection="0"/>
    <xf numFmtId="44" fontId="3" fillId="0" borderId="0" applyFont="0" applyFill="0" applyBorder="0" applyAlignment="0" applyProtection="0"/>
    <xf numFmtId="0" fontId="14"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84" fillId="0" borderId="0"/>
    <xf numFmtId="0" fontId="95" fillId="0" borderId="0"/>
    <xf numFmtId="43" fontId="3" fillId="0" borderId="0" applyFont="0" applyFill="0" applyBorder="0" applyAlignment="0" applyProtection="0"/>
    <xf numFmtId="44" fontId="3" fillId="0" borderId="0" applyFont="0" applyFill="0" applyBorder="0" applyAlignment="0" applyProtection="0"/>
  </cellStyleXfs>
  <cellXfs count="611">
    <xf numFmtId="0" fontId="0" fillId="0" borderId="0" xfId="0"/>
    <xf numFmtId="0" fontId="0" fillId="0" borderId="0" xfId="0" applyAlignment="1">
      <alignment vertical="center"/>
    </xf>
    <xf numFmtId="0" fontId="0" fillId="0" borderId="0" xfId="0" applyAlignment="1">
      <alignment wrapText="1"/>
    </xf>
    <xf numFmtId="0" fontId="4" fillId="0" borderId="0" xfId="0" applyFont="1" applyAlignment="1">
      <alignment wrapText="1"/>
    </xf>
    <xf numFmtId="0" fontId="0" fillId="0" borderId="0" xfId="0" applyAlignment="1">
      <alignment vertical="center" wrapText="1"/>
    </xf>
    <xf numFmtId="0" fontId="4" fillId="3" borderId="0" xfId="0" applyFont="1" applyFill="1" applyBorder="1" applyAlignment="1">
      <alignment wrapText="1"/>
    </xf>
    <xf numFmtId="0" fontId="0" fillId="0" borderId="0" xfId="0" applyBorder="1"/>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0" fillId="3" borderId="1" xfId="0" applyFill="1" applyBorder="1" applyAlignment="1">
      <alignment vertical="center"/>
    </xf>
    <xf numFmtId="0" fontId="0" fillId="0" borderId="0" xfId="0"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4" fillId="4" borderId="5" xfId="0" applyFont="1" applyFill="1" applyBorder="1" applyAlignment="1">
      <alignment vertical="center"/>
    </xf>
    <xf numFmtId="0" fontId="4" fillId="3" borderId="4" xfId="0" applyFont="1" applyFill="1" applyBorder="1" applyAlignment="1">
      <alignment horizontal="center" vertical="center"/>
    </xf>
    <xf numFmtId="0" fontId="4" fillId="2" borderId="4" xfId="0" applyFont="1" applyFill="1" applyBorder="1" applyAlignment="1">
      <alignment vertical="center" wrapText="1"/>
    </xf>
    <xf numFmtId="0" fontId="8" fillId="0" borderId="0" xfId="0" applyFont="1"/>
    <xf numFmtId="0" fontId="8" fillId="0" borderId="0" xfId="0" applyFont="1" applyAlignment="1">
      <alignment horizontal="center" vertical="center"/>
    </xf>
    <xf numFmtId="0" fontId="8" fillId="0" borderId="0" xfId="0" applyFont="1" applyFill="1"/>
    <xf numFmtId="0" fontId="4" fillId="3" borderId="4" xfId="0" applyFont="1" applyFill="1" applyBorder="1" applyAlignment="1">
      <alignment vertical="center" wrapText="1"/>
    </xf>
    <xf numFmtId="0" fontId="1" fillId="0" borderId="7" xfId="0" applyFont="1" applyFill="1" applyBorder="1" applyAlignment="1">
      <alignment horizontal="center" vertical="center" wrapText="1"/>
    </xf>
    <xf numFmtId="0" fontId="0" fillId="3" borderId="1" xfId="0" applyFill="1" applyBorder="1" applyAlignment="1">
      <alignment horizontal="right" vertical="center" wrapText="1"/>
    </xf>
    <xf numFmtId="14" fontId="0" fillId="3" borderId="1" xfId="0" applyNumberFormat="1" applyFill="1" applyBorder="1" applyAlignment="1" applyProtection="1">
      <alignment horizontal="center" vertical="center"/>
      <protection locked="0"/>
    </xf>
    <xf numFmtId="0" fontId="0" fillId="3" borderId="1" xfId="0" applyFill="1" applyBorder="1" applyAlignment="1" applyProtection="1">
      <alignment vertical="center"/>
      <protection locked="0"/>
    </xf>
    <xf numFmtId="0" fontId="9" fillId="0" borderId="0" xfId="0" applyFont="1" applyAlignment="1"/>
    <xf numFmtId="0" fontId="6" fillId="3" borderId="0" xfId="0" applyFont="1" applyFill="1" applyBorder="1" applyAlignment="1">
      <alignment vertical="center"/>
    </xf>
    <xf numFmtId="0" fontId="4" fillId="8" borderId="0" xfId="0" applyFont="1" applyFill="1"/>
    <xf numFmtId="0" fontId="0" fillId="3" borderId="0" xfId="0" applyFill="1"/>
    <xf numFmtId="0" fontId="0" fillId="0" borderId="0" xfId="0" applyAlignment="1">
      <alignment horizontal="center"/>
    </xf>
    <xf numFmtId="0" fontId="13" fillId="0" borderId="0" xfId="1" applyFill="1"/>
    <xf numFmtId="0" fontId="0" fillId="0" borderId="0" xfId="0" applyFill="1"/>
    <xf numFmtId="0" fontId="6" fillId="0" borderId="0" xfId="0" applyFont="1"/>
    <xf numFmtId="0" fontId="16" fillId="0" borderId="0" xfId="1" applyFont="1" applyFill="1"/>
    <xf numFmtId="0" fontId="6" fillId="0" borderId="0" xfId="0" applyFont="1" applyFill="1"/>
    <xf numFmtId="0" fontId="15" fillId="0" borderId="0" xfId="0" applyFont="1"/>
    <xf numFmtId="0" fontId="15" fillId="0" borderId="0" xfId="0" applyFont="1" applyAlignment="1">
      <alignment horizontal="center"/>
    </xf>
    <xf numFmtId="0" fontId="17" fillId="0" borderId="0" xfId="0" applyFont="1"/>
    <xf numFmtId="0" fontId="18" fillId="0" borderId="0" xfId="1" applyFont="1" applyFill="1"/>
    <xf numFmtId="0" fontId="19" fillId="0" borderId="0" xfId="3" applyFont="1" applyFill="1"/>
    <xf numFmtId="0" fontId="22" fillId="0" borderId="0" xfId="0" applyFont="1" applyAlignment="1">
      <alignment vertical="center"/>
    </xf>
    <xf numFmtId="0" fontId="22" fillId="0" borderId="0" xfId="0" applyFont="1" applyFill="1" applyAlignment="1">
      <alignment vertical="center"/>
    </xf>
    <xf numFmtId="41" fontId="23" fillId="4" borderId="7" xfId="5" applyNumberFormat="1" applyFont="1" applyFill="1" applyBorder="1" applyAlignment="1">
      <alignment horizontal="right" vertical="center" wrapText="1"/>
    </xf>
    <xf numFmtId="41" fontId="15" fillId="0" borderId="0" xfId="0" applyNumberFormat="1" applyFont="1"/>
    <xf numFmtId="0" fontId="5" fillId="0" borderId="0" xfId="0" applyFont="1"/>
    <xf numFmtId="168" fontId="24" fillId="7" borderId="7" xfId="5" applyNumberFormat="1" applyFont="1" applyFill="1" applyBorder="1" applyAlignment="1">
      <alignment horizontal="right" wrapText="1"/>
    </xf>
    <xf numFmtId="0" fontId="25" fillId="0" borderId="0" xfId="0" applyFont="1"/>
    <xf numFmtId="0" fontId="26" fillId="0" borderId="0" xfId="0" applyFont="1"/>
    <xf numFmtId="41" fontId="23" fillId="0" borderId="7" xfId="5" applyNumberFormat="1" applyFont="1" applyFill="1" applyBorder="1" applyAlignment="1">
      <alignment horizontal="right" vertical="center" wrapText="1"/>
    </xf>
    <xf numFmtId="41" fontId="23" fillId="7" borderId="7" xfId="5" applyNumberFormat="1" applyFont="1" applyFill="1" applyBorder="1" applyAlignment="1">
      <alignment horizontal="right" vertical="center" wrapText="1"/>
    </xf>
    <xf numFmtId="168" fontId="23" fillId="7" borderId="7" xfId="5" applyNumberFormat="1" applyFont="1" applyFill="1" applyBorder="1" applyAlignment="1">
      <alignment horizontal="right" vertical="center" wrapText="1"/>
    </xf>
    <xf numFmtId="0" fontId="23" fillId="4" borderId="7" xfId="0" applyFont="1" applyFill="1" applyBorder="1" applyAlignment="1">
      <alignment horizontal="left" vertical="center" wrapText="1"/>
    </xf>
    <xf numFmtId="0" fontId="23" fillId="4" borderId="7"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7" xfId="0" applyFont="1" applyFill="1" applyBorder="1" applyAlignment="1">
      <alignment horizontal="left" vertical="center" wrapText="1"/>
    </xf>
    <xf numFmtId="0" fontId="0" fillId="3" borderId="0" xfId="0" applyFill="1" applyAlignment="1">
      <alignment wrapText="1"/>
    </xf>
    <xf numFmtId="0" fontId="4" fillId="0" borderId="0" xfId="0" applyFont="1" applyBorder="1" applyAlignment="1">
      <alignment horizontal="center" vertical="center" wrapText="1"/>
    </xf>
    <xf numFmtId="0" fontId="34" fillId="0" borderId="0" xfId="0" applyFont="1" applyAlignment="1">
      <alignment vertical="center"/>
    </xf>
    <xf numFmtId="0" fontId="15" fillId="0" borderId="0" xfId="0" applyFont="1" applyFill="1"/>
    <xf numFmtId="0" fontId="15" fillId="0" borderId="0" xfId="0" applyFont="1" applyBorder="1"/>
    <xf numFmtId="0" fontId="15" fillId="0" borderId="0" xfId="0" applyFont="1" applyBorder="1" applyAlignment="1">
      <alignment horizontal="center"/>
    </xf>
    <xf numFmtId="0" fontId="15" fillId="3" borderId="0" xfId="0" applyFont="1" applyFill="1"/>
    <xf numFmtId="0" fontId="15" fillId="3" borderId="0" xfId="0" applyFont="1" applyFill="1" applyAlignment="1">
      <alignment horizontal="center"/>
    </xf>
    <xf numFmtId="0" fontId="38" fillId="12" borderId="0" xfId="0" applyFont="1" applyFill="1" applyAlignment="1">
      <alignment vertical="center"/>
    </xf>
    <xf numFmtId="0" fontId="0" fillId="0" borderId="0" xfId="0" applyFont="1"/>
    <xf numFmtId="0" fontId="40" fillId="12" borderId="0" xfId="0" applyFont="1" applyFill="1" applyAlignment="1"/>
    <xf numFmtId="0" fontId="6" fillId="3" borderId="0" xfId="0" applyFont="1" applyFill="1"/>
    <xf numFmtId="41" fontId="42" fillId="3" borderId="27" xfId="0" applyNumberFormat="1" applyFont="1" applyFill="1" applyBorder="1" applyAlignment="1">
      <alignment horizontal="right" vertical="center" wrapText="1" readingOrder="1"/>
    </xf>
    <xf numFmtId="0" fontId="5" fillId="3" borderId="0" xfId="0" applyFont="1" applyFill="1" applyBorder="1" applyAlignment="1">
      <alignment horizontal="center" vertical="center" textRotation="90"/>
    </xf>
    <xf numFmtId="0" fontId="6" fillId="3" borderId="0" xfId="0" applyFont="1" applyFill="1" applyBorder="1"/>
    <xf numFmtId="0" fontId="5" fillId="3" borderId="0" xfId="0" applyFont="1" applyFill="1" applyBorder="1" applyAlignment="1">
      <alignment vertical="center" wrapText="1" readingOrder="1"/>
    </xf>
    <xf numFmtId="0" fontId="6" fillId="3" borderId="0" xfId="0" applyFont="1" applyFill="1" applyAlignment="1">
      <alignment wrapText="1"/>
    </xf>
    <xf numFmtId="0" fontId="0" fillId="12" borderId="0" xfId="0" applyFill="1" applyAlignment="1">
      <alignment vertical="center"/>
    </xf>
    <xf numFmtId="0" fontId="8" fillId="3" borderId="0" xfId="0" applyFont="1" applyFill="1" applyBorder="1" applyAlignment="1" applyProtection="1">
      <alignment vertical="center"/>
      <protection locked="0"/>
    </xf>
    <xf numFmtId="0" fontId="34" fillId="3" borderId="0" xfId="0" applyFont="1" applyFill="1" applyAlignment="1">
      <alignment vertical="center"/>
    </xf>
    <xf numFmtId="1" fontId="0" fillId="0" borderId="0" xfId="0" applyNumberFormat="1" applyAlignment="1">
      <alignment vertical="center" wrapText="1"/>
    </xf>
    <xf numFmtId="0" fontId="4" fillId="15" borderId="1" xfId="0" applyFont="1" applyFill="1" applyBorder="1" applyAlignment="1">
      <alignment vertical="center"/>
    </xf>
    <xf numFmtId="0" fontId="51" fillId="3" borderId="0" xfId="0" applyFont="1" applyFill="1" applyAlignment="1">
      <alignment vertical="center"/>
    </xf>
    <xf numFmtId="0" fontId="10" fillId="0" borderId="0" xfId="0" applyFont="1" applyAlignment="1">
      <alignment wrapText="1"/>
    </xf>
    <xf numFmtId="166" fontId="10" fillId="0" borderId="0" xfId="0" applyNumberFormat="1" applyFont="1" applyAlignment="1">
      <alignment wrapText="1"/>
    </xf>
    <xf numFmtId="0" fontId="4" fillId="3" borderId="0" xfId="0" applyFont="1" applyFill="1"/>
    <xf numFmtId="0" fontId="30" fillId="0" borderId="0" xfId="0" applyFont="1" applyFill="1" applyBorder="1" applyAlignment="1">
      <alignment vertical="center"/>
    </xf>
    <xf numFmtId="0" fontId="30" fillId="0" borderId="0" xfId="0" applyFont="1" applyFill="1" applyBorder="1" applyAlignment="1"/>
    <xf numFmtId="0" fontId="28" fillId="0" borderId="0" xfId="0" applyFont="1" applyFill="1" applyBorder="1" applyAlignment="1"/>
    <xf numFmtId="0" fontId="30" fillId="11" borderId="15" xfId="0" applyFont="1" applyFill="1" applyBorder="1" applyAlignment="1" applyProtection="1">
      <alignment vertical="center"/>
      <protection locked="0"/>
    </xf>
    <xf numFmtId="0" fontId="30" fillId="11" borderId="15" xfId="0" applyFont="1" applyFill="1" applyBorder="1" applyAlignment="1"/>
    <xf numFmtId="0" fontId="28" fillId="11" borderId="15" xfId="0" applyFont="1" applyFill="1" applyBorder="1" applyAlignment="1"/>
    <xf numFmtId="0" fontId="28" fillId="11" borderId="9" xfId="0" applyFont="1" applyFill="1" applyBorder="1" applyAlignment="1"/>
    <xf numFmtId="0" fontId="4" fillId="0" borderId="0" xfId="0" applyFont="1" applyBorder="1" applyAlignment="1"/>
    <xf numFmtId="0" fontId="6" fillId="3" borderId="24" xfId="0" applyFont="1" applyFill="1" applyBorder="1" applyAlignment="1">
      <alignment vertical="center"/>
    </xf>
    <xf numFmtId="0" fontId="6" fillId="3" borderId="25" xfId="0" applyFont="1" applyFill="1" applyBorder="1" applyAlignment="1">
      <alignment vertical="center"/>
    </xf>
    <xf numFmtId="0" fontId="6" fillId="3" borderId="26" xfId="0" applyFont="1" applyFill="1" applyBorder="1" applyAlignment="1">
      <alignment vertical="center"/>
    </xf>
    <xf numFmtId="0" fontId="6" fillId="3" borderId="32" xfId="0" applyFont="1" applyFill="1" applyBorder="1" applyAlignment="1">
      <alignment vertical="center"/>
    </xf>
    <xf numFmtId="0" fontId="6" fillId="3" borderId="33" xfId="0" applyFont="1" applyFill="1" applyBorder="1" applyAlignment="1">
      <alignment vertical="center"/>
    </xf>
    <xf numFmtId="0" fontId="6" fillId="3" borderId="34" xfId="0" applyFont="1" applyFill="1" applyBorder="1" applyAlignment="1">
      <alignment vertical="center"/>
    </xf>
    <xf numFmtId="0" fontId="6" fillId="3" borderId="35" xfId="0" applyFont="1" applyFill="1" applyBorder="1" applyAlignment="1">
      <alignment vertical="center"/>
    </xf>
    <xf numFmtId="0" fontId="6" fillId="3" borderId="36" xfId="0" applyFont="1" applyFill="1" applyBorder="1" applyAlignment="1">
      <alignment vertical="center"/>
    </xf>
    <xf numFmtId="0" fontId="30" fillId="11" borderId="9" xfId="0" applyFont="1" applyFill="1" applyBorder="1" applyAlignment="1" applyProtection="1">
      <alignment vertical="center"/>
      <protection locked="0"/>
    </xf>
    <xf numFmtId="0" fontId="29" fillId="11" borderId="19" xfId="0" applyFont="1" applyFill="1" applyBorder="1" applyAlignment="1" applyProtection="1">
      <alignment vertical="center"/>
      <protection locked="0"/>
    </xf>
    <xf numFmtId="0" fontId="29" fillId="11" borderId="19" xfId="0" applyFont="1" applyFill="1" applyBorder="1" applyAlignment="1">
      <alignment vertical="center"/>
    </xf>
    <xf numFmtId="0" fontId="7" fillId="4" borderId="7" xfId="0" applyFont="1" applyFill="1" applyBorder="1" applyAlignment="1">
      <alignment vertical="center" wrapText="1"/>
    </xf>
    <xf numFmtId="41" fontId="5" fillId="4" borderId="7" xfId="0" applyNumberFormat="1" applyFont="1" applyFill="1" applyBorder="1" applyAlignment="1">
      <alignment vertical="center" wrapText="1"/>
    </xf>
    <xf numFmtId="165" fontId="5" fillId="4" borderId="7" xfId="0" applyNumberFormat="1" applyFont="1" applyFill="1" applyBorder="1" applyAlignment="1">
      <alignment vertical="center" wrapText="1"/>
    </xf>
    <xf numFmtId="0" fontId="5" fillId="4" borderId="7" xfId="0" applyFont="1" applyFill="1" applyBorder="1" applyAlignment="1">
      <alignment vertical="center" wrapText="1"/>
    </xf>
    <xf numFmtId="0" fontId="6" fillId="3" borderId="7" xfId="0" applyFont="1" applyFill="1" applyBorder="1" applyAlignment="1">
      <alignment vertical="center" wrapText="1"/>
    </xf>
    <xf numFmtId="41" fontId="6" fillId="3" borderId="7" xfId="0" applyNumberFormat="1" applyFont="1" applyFill="1" applyBorder="1" applyAlignment="1" applyProtection="1">
      <alignment vertical="center" wrapText="1"/>
      <protection locked="0"/>
    </xf>
    <xf numFmtId="41" fontId="6" fillId="3" borderId="7" xfId="0" applyNumberFormat="1" applyFont="1" applyFill="1" applyBorder="1" applyAlignment="1" applyProtection="1">
      <alignment vertical="center"/>
      <protection locked="0"/>
    </xf>
    <xf numFmtId="0" fontId="5" fillId="3" borderId="7" xfId="0" applyFont="1" applyFill="1" applyBorder="1" applyAlignment="1">
      <alignment vertical="center" wrapText="1"/>
    </xf>
    <xf numFmtId="41" fontId="5" fillId="3" borderId="7" xfId="0" applyNumberFormat="1" applyFont="1" applyFill="1" applyBorder="1" applyAlignment="1" applyProtection="1">
      <alignment vertical="center"/>
      <protection locked="0"/>
    </xf>
    <xf numFmtId="41" fontId="5" fillId="3" borderId="7" xfId="0" applyNumberFormat="1" applyFont="1" applyFill="1" applyBorder="1" applyAlignment="1" applyProtection="1">
      <alignment vertical="center" wrapText="1"/>
      <protection locked="0"/>
    </xf>
    <xf numFmtId="41" fontId="5" fillId="16" borderId="7" xfId="0" applyNumberFormat="1" applyFont="1" applyFill="1" applyBorder="1" applyAlignment="1">
      <alignment vertical="center" wrapText="1"/>
    </xf>
    <xf numFmtId="165" fontId="5" fillId="16" borderId="7" xfId="0" applyNumberFormat="1" applyFont="1" applyFill="1" applyBorder="1" applyAlignment="1">
      <alignment vertical="center" wrapText="1"/>
    </xf>
    <xf numFmtId="41" fontId="5" fillId="3" borderId="7" xfId="0" applyNumberFormat="1" applyFont="1" applyFill="1" applyBorder="1" applyAlignment="1">
      <alignment vertical="center" wrapText="1"/>
    </xf>
    <xf numFmtId="165" fontId="5" fillId="3" borderId="7" xfId="0" applyNumberFormat="1" applyFont="1" applyFill="1" applyBorder="1" applyAlignment="1">
      <alignment vertical="center" wrapText="1"/>
    </xf>
    <xf numFmtId="0" fontId="30" fillId="13" borderId="7" xfId="0" applyFont="1" applyFill="1" applyBorder="1" applyAlignment="1">
      <alignment vertical="center" wrapText="1"/>
    </xf>
    <xf numFmtId="0" fontId="15" fillId="0" borderId="12" xfId="0" applyFont="1" applyBorder="1"/>
    <xf numFmtId="0" fontId="15" fillId="0" borderId="13" xfId="0" applyFont="1" applyBorder="1"/>
    <xf numFmtId="0" fontId="21" fillId="3" borderId="0" xfId="0" applyFont="1" applyFill="1" applyBorder="1" applyAlignment="1">
      <alignment vertical="center"/>
    </xf>
    <xf numFmtId="0" fontId="20" fillId="3" borderId="0" xfId="0" applyFont="1" applyFill="1" applyBorder="1" applyAlignment="1">
      <alignment horizontal="right" vertical="center"/>
    </xf>
    <xf numFmtId="41" fontId="23" fillId="3" borderId="0" xfId="0" applyNumberFormat="1" applyFont="1" applyFill="1" applyBorder="1" applyAlignment="1">
      <alignment horizontal="right" wrapText="1"/>
    </xf>
    <xf numFmtId="41" fontId="24" fillId="3" borderId="0" xfId="0" applyNumberFormat="1" applyFont="1" applyFill="1" applyBorder="1" applyAlignment="1">
      <alignment horizontal="right" wrapText="1"/>
    </xf>
    <xf numFmtId="43" fontId="24" fillId="3" borderId="0" xfId="0" applyNumberFormat="1" applyFont="1" applyFill="1" applyBorder="1" applyAlignment="1">
      <alignment horizontal="right" wrapText="1"/>
    </xf>
    <xf numFmtId="0" fontId="0" fillId="0" borderId="0" xfId="0" applyBorder="1" applyAlignment="1">
      <alignment horizontal="center"/>
    </xf>
    <xf numFmtId="0" fontId="10" fillId="3" borderId="7" xfId="0" applyFont="1" applyFill="1" applyBorder="1" applyAlignment="1" applyProtection="1">
      <alignment vertical="center" wrapText="1"/>
      <protection locked="0"/>
    </xf>
    <xf numFmtId="14" fontId="10" fillId="3" borderId="7" xfId="0" applyNumberFormat="1" applyFont="1" applyFill="1" applyBorder="1" applyAlignment="1" applyProtection="1">
      <alignment horizontal="center" vertical="center" wrapText="1"/>
      <protection locked="0"/>
    </xf>
    <xf numFmtId="166" fontId="10" fillId="4" borderId="7" xfId="0" applyNumberFormat="1" applyFont="1" applyFill="1" applyBorder="1" applyAlignment="1">
      <alignment vertical="center" wrapText="1"/>
    </xf>
    <xf numFmtId="0" fontId="33" fillId="3" borderId="12" xfId="0" applyFont="1" applyFill="1" applyBorder="1" applyAlignment="1">
      <alignment horizontal="left" vertical="center" wrapText="1"/>
    </xf>
    <xf numFmtId="0" fontId="33" fillId="3" borderId="0" xfId="0" applyFont="1" applyFill="1" applyBorder="1" applyAlignment="1">
      <alignment horizontal="left" vertical="center" wrapText="1"/>
    </xf>
    <xf numFmtId="41" fontId="30" fillId="16" borderId="7" xfId="0" applyNumberFormat="1" applyFont="1" applyFill="1" applyBorder="1" applyAlignment="1">
      <alignment vertical="center" wrapText="1"/>
    </xf>
    <xf numFmtId="165" fontId="30" fillId="16" borderId="7" xfId="0" applyNumberFormat="1" applyFont="1" applyFill="1" applyBorder="1" applyAlignment="1">
      <alignment vertical="center" wrapText="1"/>
    </xf>
    <xf numFmtId="0" fontId="27" fillId="3" borderId="0" xfId="0" applyFont="1" applyFill="1"/>
    <xf numFmtId="0" fontId="27" fillId="3" borderId="0" xfId="1" applyFont="1" applyFill="1"/>
    <xf numFmtId="0" fontId="27" fillId="3" borderId="0" xfId="3" applyFont="1" applyFill="1"/>
    <xf numFmtId="0" fontId="4" fillId="0" borderId="0" xfId="0" applyFont="1" applyBorder="1" applyAlignment="1">
      <alignment horizontal="center" vertical="center" wrapText="1"/>
    </xf>
    <xf numFmtId="0" fontId="0" fillId="3" borderId="0" xfId="0" applyFill="1" applyAlignment="1">
      <alignment horizontal="center"/>
    </xf>
    <xf numFmtId="0" fontId="33" fillId="11" borderId="7" xfId="0" applyFont="1" applyFill="1" applyBorder="1" applyAlignment="1">
      <alignment horizontal="center" vertical="center" wrapText="1"/>
    </xf>
    <xf numFmtId="41" fontId="6" fillId="4" borderId="7" xfId="0" applyNumberFormat="1" applyFont="1" applyFill="1" applyBorder="1" applyAlignment="1" applyProtection="1">
      <alignment vertical="center" wrapText="1"/>
      <protection locked="0"/>
    </xf>
    <xf numFmtId="0" fontId="10" fillId="3" borderId="7" xfId="0" applyFont="1" applyFill="1" applyBorder="1" applyAlignment="1" applyProtection="1">
      <alignment horizontal="center" vertical="center" wrapText="1"/>
      <protection locked="0"/>
    </xf>
    <xf numFmtId="171" fontId="10" fillId="3" borderId="7" xfId="5" applyNumberFormat="1" applyFont="1" applyFill="1" applyBorder="1" applyAlignment="1" applyProtection="1">
      <alignment vertical="center" wrapText="1"/>
      <protection locked="0"/>
    </xf>
    <xf numFmtId="171" fontId="10" fillId="4" borderId="7" xfId="5" applyNumberFormat="1" applyFont="1" applyFill="1" applyBorder="1" applyAlignment="1">
      <alignment vertical="center" wrapText="1"/>
    </xf>
    <xf numFmtId="171" fontId="35" fillId="11" borderId="7" xfId="5" applyNumberFormat="1" applyFont="1" applyFill="1" applyBorder="1" applyAlignment="1">
      <alignment horizontal="right" wrapText="1"/>
    </xf>
    <xf numFmtId="166" fontId="35" fillId="11" borderId="7" xfId="0" applyNumberFormat="1" applyFont="1" applyFill="1" applyBorder="1" applyAlignment="1">
      <alignment horizontal="right" wrapText="1"/>
    </xf>
    <xf numFmtId="0" fontId="32" fillId="3" borderId="0" xfId="0" applyFont="1" applyFill="1" applyBorder="1" applyAlignment="1">
      <alignment wrapText="1"/>
    </xf>
    <xf numFmtId="49" fontId="10" fillId="3" borderId="1" xfId="0" applyNumberFormat="1" applyFont="1" applyFill="1" applyBorder="1" applyAlignment="1">
      <alignment wrapText="1"/>
    </xf>
    <xf numFmtId="0" fontId="35" fillId="11" borderId="7" xfId="0" applyFont="1" applyFill="1" applyBorder="1" applyAlignment="1">
      <alignment horizontal="center" vertical="center" wrapText="1"/>
    </xf>
    <xf numFmtId="0" fontId="10" fillId="0" borderId="12" xfId="0" applyFont="1" applyBorder="1" applyAlignment="1">
      <alignment wrapText="1"/>
    </xf>
    <xf numFmtId="0" fontId="10" fillId="0" borderId="0" xfId="0" applyFont="1" applyBorder="1" applyAlignment="1">
      <alignment horizontal="center" wrapText="1"/>
    </xf>
    <xf numFmtId="0" fontId="10" fillId="0" borderId="0" xfId="0" applyFont="1" applyBorder="1" applyAlignment="1">
      <alignment horizontal="right" wrapText="1"/>
    </xf>
    <xf numFmtId="0" fontId="35" fillId="11" borderId="7" xfId="0" applyFont="1" applyFill="1" applyBorder="1" applyAlignment="1">
      <alignment vertical="center" wrapText="1"/>
    </xf>
    <xf numFmtId="0" fontId="10" fillId="0" borderId="7" xfId="0" applyFont="1" applyBorder="1" applyAlignment="1">
      <alignment vertical="center" wrapText="1"/>
    </xf>
    <xf numFmtId="0" fontId="10" fillId="0" borderId="7" xfId="0" applyFont="1" applyBorder="1" applyAlignment="1">
      <alignment horizontal="center" vertical="center" wrapText="1"/>
    </xf>
    <xf numFmtId="0" fontId="10" fillId="0" borderId="7" xfId="0" applyFont="1" applyBorder="1" applyAlignment="1" applyProtection="1">
      <alignment vertical="center" wrapText="1"/>
      <protection locked="0"/>
    </xf>
    <xf numFmtId="0" fontId="10" fillId="0" borderId="7" xfId="0" applyFont="1" applyFill="1" applyBorder="1" applyAlignment="1">
      <alignment vertical="center" wrapText="1"/>
    </xf>
    <xf numFmtId="0" fontId="10" fillId="0" borderId="7" xfId="0" applyFont="1" applyFill="1" applyBorder="1" applyAlignment="1">
      <alignment horizontal="center" vertical="center" wrapText="1"/>
    </xf>
    <xf numFmtId="9" fontId="10" fillId="0" borderId="7" xfId="0" applyNumberFormat="1"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10" fillId="3" borderId="7" xfId="0" applyFont="1" applyFill="1" applyBorder="1" applyAlignment="1">
      <alignment horizontal="center" vertical="center" wrapText="1"/>
    </xf>
    <xf numFmtId="0" fontId="32" fillId="0" borderId="0" xfId="0" applyFont="1" applyFill="1" applyBorder="1"/>
    <xf numFmtId="0" fontId="32" fillId="0" borderId="0" xfId="0" applyFont="1" applyFill="1" applyBorder="1" applyAlignment="1">
      <alignment horizontal="center"/>
    </xf>
    <xf numFmtId="0" fontId="10" fillId="0" borderId="0" xfId="0" applyFont="1" applyFill="1" applyBorder="1"/>
    <xf numFmtId="0" fontId="10" fillId="3" borderId="7" xfId="0" applyFont="1" applyFill="1" applyBorder="1" applyAlignment="1">
      <alignment vertical="center" wrapText="1"/>
    </xf>
    <xf numFmtId="0" fontId="59" fillId="17" borderId="7"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37" fillId="11" borderId="7" xfId="0" applyFont="1" applyFill="1" applyBorder="1" applyAlignment="1">
      <alignment horizontal="center" vertical="center" textRotation="90" wrapText="1" readingOrder="1"/>
    </xf>
    <xf numFmtId="41" fontId="59" fillId="17" borderId="7" xfId="0" applyNumberFormat="1" applyFont="1" applyFill="1" applyBorder="1" applyAlignment="1">
      <alignment vertical="center"/>
    </xf>
    <xf numFmtId="171" fontId="29" fillId="11" borderId="17" xfId="5" applyNumberFormat="1" applyFont="1" applyFill="1" applyBorder="1" applyAlignment="1">
      <alignment vertical="center" wrapText="1"/>
    </xf>
    <xf numFmtId="173" fontId="59" fillId="17" borderId="7" xfId="0" applyNumberFormat="1" applyFont="1" applyFill="1" applyBorder="1" applyAlignment="1">
      <alignment vertical="center"/>
    </xf>
    <xf numFmtId="173" fontId="65" fillId="18" borderId="7" xfId="0" applyNumberFormat="1" applyFont="1" applyFill="1" applyBorder="1" applyAlignment="1">
      <alignment vertical="center" wrapText="1"/>
    </xf>
    <xf numFmtId="170" fontId="10" fillId="3" borderId="7" xfId="0" applyNumberFormat="1" applyFont="1" applyFill="1" applyBorder="1" applyAlignment="1" applyProtection="1">
      <alignment vertical="center" wrapText="1"/>
      <protection locked="0"/>
    </xf>
    <xf numFmtId="3" fontId="35" fillId="11" borderId="7" xfId="0" applyNumberFormat="1" applyFont="1" applyFill="1" applyBorder="1" applyAlignment="1">
      <alignment horizontal="right" wrapText="1"/>
    </xf>
    <xf numFmtId="171" fontId="35" fillId="11" borderId="7" xfId="5" applyNumberFormat="1" applyFont="1" applyFill="1" applyBorder="1" applyAlignment="1">
      <alignment horizontal="right" vertical="center" wrapText="1"/>
    </xf>
    <xf numFmtId="166" fontId="35" fillId="11" borderId="7" xfId="0" applyNumberFormat="1" applyFont="1" applyFill="1" applyBorder="1" applyAlignment="1">
      <alignment horizontal="right" vertical="center" wrapText="1"/>
    </xf>
    <xf numFmtId="166" fontId="10" fillId="4" borderId="7" xfId="0" applyNumberFormat="1" applyFont="1" applyFill="1" applyBorder="1" applyAlignment="1" applyProtection="1">
      <alignment vertical="center" wrapText="1"/>
      <protection locked="0"/>
    </xf>
    <xf numFmtId="41" fontId="5" fillId="8" borderId="7" xfId="0" applyNumberFormat="1" applyFont="1" applyFill="1" applyBorder="1" applyAlignment="1">
      <alignment vertical="center" wrapText="1"/>
    </xf>
    <xf numFmtId="0" fontId="31" fillId="11" borderId="7" xfId="0" applyFont="1" applyFill="1" applyBorder="1" applyAlignment="1">
      <alignment horizontal="center" vertical="center" wrapText="1" readingOrder="1"/>
    </xf>
    <xf numFmtId="0" fontId="31" fillId="11" borderId="11" xfId="0" applyFont="1" applyFill="1" applyBorder="1" applyAlignment="1">
      <alignment horizontal="left" vertical="top" wrapText="1" indent="4" readingOrder="1"/>
    </xf>
    <xf numFmtId="0" fontId="66" fillId="0" borderId="7" xfId="0" applyFont="1" applyFill="1" applyBorder="1" applyAlignment="1">
      <alignment vertical="center" wrapText="1" readingOrder="1"/>
    </xf>
    <xf numFmtId="0" fontId="40" fillId="6" borderId="8" xfId="0" applyFont="1" applyFill="1" applyBorder="1" applyAlignment="1">
      <alignment horizontal="left" vertical="center" wrapText="1" readingOrder="1"/>
    </xf>
    <xf numFmtId="0" fontId="66" fillId="6" borderId="6" xfId="0" applyFont="1" applyFill="1" applyBorder="1" applyAlignment="1">
      <alignment horizontal="left" vertical="center" readingOrder="1"/>
    </xf>
    <xf numFmtId="0" fontId="66" fillId="6" borderId="10" xfId="0" applyFont="1" applyFill="1" applyBorder="1" applyAlignment="1">
      <alignment horizontal="left" vertical="center" readingOrder="1"/>
    </xf>
    <xf numFmtId="41" fontId="31" fillId="11" borderId="7" xfId="0" applyNumberFormat="1" applyFont="1" applyFill="1" applyBorder="1" applyAlignment="1">
      <alignment horizontal="center" vertical="center" wrapText="1"/>
    </xf>
    <xf numFmtId="41" fontId="12" fillId="3" borderId="0" xfId="0" applyNumberFormat="1" applyFont="1" applyFill="1" applyBorder="1" applyAlignment="1">
      <alignment horizontal="center" vertical="center" wrapText="1"/>
    </xf>
    <xf numFmtId="171" fontId="12" fillId="4" borderId="7" xfId="5" applyNumberFormat="1" applyFont="1" applyFill="1" applyBorder="1" applyAlignment="1">
      <alignment horizontal="left" vertical="center" wrapText="1"/>
    </xf>
    <xf numFmtId="172" fontId="12" fillId="4" borderId="7" xfId="5" applyNumberFormat="1" applyFont="1" applyFill="1" applyBorder="1" applyAlignment="1">
      <alignment horizontal="left" vertical="center" wrapText="1"/>
    </xf>
    <xf numFmtId="169" fontId="12" fillId="3" borderId="0" xfId="4" applyNumberFormat="1" applyFont="1" applyFill="1" applyBorder="1" applyAlignment="1">
      <alignment horizontal="left" vertical="center" wrapText="1"/>
    </xf>
    <xf numFmtId="41" fontId="12" fillId="3" borderId="7" xfId="0" applyNumberFormat="1" applyFont="1" applyFill="1" applyBorder="1" applyAlignment="1">
      <alignment horizontal="right" vertical="center" wrapText="1"/>
    </xf>
    <xf numFmtId="172" fontId="12" fillId="4" borderId="7" xfId="5" applyNumberFormat="1" applyFont="1" applyFill="1" applyBorder="1" applyAlignment="1">
      <alignment horizontal="right" vertical="center" wrapText="1"/>
    </xf>
    <xf numFmtId="171" fontId="31" fillId="11" borderId="7" xfId="5" applyNumberFormat="1" applyFont="1" applyFill="1" applyBorder="1" applyAlignment="1">
      <alignment horizontal="left" vertical="center" wrapText="1"/>
    </xf>
    <xf numFmtId="172" fontId="31" fillId="11" borderId="7" xfId="5" applyNumberFormat="1" applyFont="1" applyFill="1" applyBorder="1" applyAlignment="1">
      <alignment horizontal="left" vertical="center" wrapText="1"/>
    </xf>
    <xf numFmtId="41" fontId="12" fillId="4" borderId="7" xfId="0" applyNumberFormat="1" applyFont="1" applyFill="1" applyBorder="1" applyAlignment="1">
      <alignment horizontal="left" vertical="center" wrapText="1"/>
    </xf>
    <xf numFmtId="170" fontId="12" fillId="3" borderId="0" xfId="5" applyNumberFormat="1" applyFont="1" applyFill="1" applyBorder="1" applyAlignment="1">
      <alignment horizontal="right" vertical="center" wrapText="1"/>
    </xf>
    <xf numFmtId="164" fontId="12" fillId="3" borderId="0" xfId="5" applyFont="1" applyFill="1" applyBorder="1" applyAlignment="1">
      <alignment horizontal="left" vertical="center" wrapText="1"/>
    </xf>
    <xf numFmtId="170" fontId="31" fillId="11" borderId="7" xfId="5" applyNumberFormat="1" applyFont="1" applyFill="1" applyBorder="1" applyAlignment="1">
      <alignment horizontal="left" vertical="center" wrapText="1"/>
    </xf>
    <xf numFmtId="170" fontId="12" fillId="3" borderId="0" xfId="5" applyNumberFormat="1" applyFont="1" applyFill="1" applyBorder="1" applyAlignment="1">
      <alignment horizontal="left" vertical="center" wrapText="1"/>
    </xf>
    <xf numFmtId="0" fontId="12" fillId="3" borderId="0" xfId="0" applyFont="1" applyFill="1" applyBorder="1" applyAlignment="1">
      <alignment vertical="center" wrapText="1"/>
    </xf>
    <xf numFmtId="41" fontId="12" fillId="3" borderId="0" xfId="0" applyNumberFormat="1" applyFont="1" applyFill="1" applyBorder="1" applyAlignment="1">
      <alignment horizontal="left" vertical="center" wrapText="1"/>
    </xf>
    <xf numFmtId="0" fontId="12" fillId="3" borderId="0" xfId="0" applyFont="1" applyFill="1" applyBorder="1" applyAlignment="1">
      <alignment horizontal="center" vertical="center" textRotation="90"/>
    </xf>
    <xf numFmtId="0" fontId="12" fillId="3" borderId="0" xfId="0" applyFont="1" applyFill="1" applyBorder="1" applyAlignment="1">
      <alignment horizontal="left" vertical="center" wrapText="1"/>
    </xf>
    <xf numFmtId="41" fontId="12" fillId="3" borderId="7" xfId="0" applyNumberFormat="1" applyFont="1" applyFill="1" applyBorder="1" applyAlignment="1">
      <alignment horizontal="center" vertical="center" wrapText="1"/>
    </xf>
    <xf numFmtId="170" fontId="12" fillId="3" borderId="7" xfId="5" applyNumberFormat="1" applyFont="1" applyFill="1" applyBorder="1" applyAlignment="1">
      <alignment horizontal="right" vertical="center" wrapText="1"/>
    </xf>
    <xf numFmtId="41" fontId="12" fillId="4" borderId="7" xfId="0" applyNumberFormat="1" applyFont="1" applyFill="1" applyBorder="1" applyAlignment="1">
      <alignment horizontal="right" vertical="center" wrapText="1"/>
    </xf>
    <xf numFmtId="41" fontId="12" fillId="14" borderId="7" xfId="0" applyNumberFormat="1" applyFont="1" applyFill="1" applyBorder="1" applyAlignment="1">
      <alignment horizontal="center" vertical="center" wrapText="1"/>
    </xf>
    <xf numFmtId="169" fontId="12" fillId="4" borderId="7" xfId="5" applyNumberFormat="1" applyFont="1" applyFill="1" applyBorder="1" applyAlignment="1">
      <alignment horizontal="right" vertical="center" wrapText="1"/>
    </xf>
    <xf numFmtId="169" fontId="12" fillId="4" borderId="7" xfId="4" applyNumberFormat="1" applyFont="1" applyFill="1" applyBorder="1" applyAlignment="1">
      <alignment horizontal="right" vertical="center" wrapText="1"/>
    </xf>
    <xf numFmtId="171" fontId="12" fillId="3" borderId="7" xfId="5" applyNumberFormat="1" applyFont="1" applyFill="1" applyBorder="1" applyAlignment="1">
      <alignment horizontal="right" vertical="center" wrapText="1"/>
    </xf>
    <xf numFmtId="171" fontId="12" fillId="4" borderId="7" xfId="5" applyNumberFormat="1" applyFont="1" applyFill="1" applyBorder="1" applyAlignment="1" applyProtection="1">
      <alignment horizontal="left" vertical="center" wrapText="1"/>
    </xf>
    <xf numFmtId="172" fontId="12" fillId="4" borderId="7" xfId="5" applyNumberFormat="1" applyFont="1" applyFill="1" applyBorder="1" applyAlignment="1" applyProtection="1">
      <alignment horizontal="left" vertical="center" wrapText="1"/>
    </xf>
    <xf numFmtId="0" fontId="29" fillId="11" borderId="7" xfId="0" applyFont="1" applyFill="1" applyBorder="1" applyAlignment="1">
      <alignment horizontal="center" vertical="center" wrapText="1"/>
    </xf>
    <xf numFmtId="41" fontId="31" fillId="11" borderId="7" xfId="0" applyNumberFormat="1" applyFont="1" applyFill="1" applyBorder="1" applyAlignment="1">
      <alignment horizontal="center" vertical="center" wrapText="1"/>
    </xf>
    <xf numFmtId="0" fontId="33" fillId="11" borderId="7" xfId="0" applyFont="1" applyFill="1" applyBorder="1" applyAlignment="1">
      <alignment horizontal="center" vertical="center" wrapText="1"/>
    </xf>
    <xf numFmtId="0" fontId="6" fillId="3" borderId="18"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center" vertical="center" wrapText="1"/>
      <protection locked="0"/>
    </xf>
    <xf numFmtId="0" fontId="6" fillId="3" borderId="7" xfId="0" applyFont="1" applyFill="1" applyBorder="1" applyAlignment="1" applyProtection="1">
      <alignment vertical="center" wrapText="1"/>
      <protection locked="0"/>
    </xf>
    <xf numFmtId="171" fontId="6" fillId="3" borderId="7" xfId="5" applyNumberFormat="1" applyFont="1" applyFill="1" applyBorder="1" applyAlignment="1" applyProtection="1">
      <alignment vertical="center" wrapText="1"/>
      <protection locked="0"/>
    </xf>
    <xf numFmtId="173" fontId="27" fillId="4" borderId="7" xfId="0" applyNumberFormat="1" applyFont="1" applyFill="1" applyBorder="1" applyAlignment="1" applyProtection="1">
      <alignment vertical="center" wrapText="1"/>
      <protection locked="0"/>
    </xf>
    <xf numFmtId="171" fontId="6" fillId="4" borderId="7" xfId="5" applyNumberFormat="1" applyFont="1" applyFill="1" applyBorder="1" applyAlignment="1">
      <alignment vertical="center" wrapText="1"/>
    </xf>
    <xf numFmtId="173" fontId="6" fillId="4" borderId="16" xfId="0" applyNumberFormat="1" applyFont="1" applyFill="1" applyBorder="1" applyAlignment="1">
      <alignment vertical="center" wrapText="1"/>
    </xf>
    <xf numFmtId="41" fontId="29" fillId="11" borderId="7" xfId="0" applyNumberFormat="1" applyFont="1" applyFill="1" applyBorder="1" applyAlignment="1">
      <alignment horizontal="center" vertical="center" wrapText="1"/>
    </xf>
    <xf numFmtId="41" fontId="30" fillId="11" borderId="7" xfId="0" applyNumberFormat="1" applyFont="1" applyFill="1" applyBorder="1" applyAlignment="1" applyProtection="1">
      <alignment horizontal="center" vertical="center" wrapText="1"/>
    </xf>
    <xf numFmtId="165" fontId="30" fillId="11" borderId="7" xfId="0" applyNumberFormat="1" applyFont="1" applyFill="1" applyBorder="1" applyAlignment="1" applyProtection="1">
      <alignment horizontal="center" vertical="center" wrapText="1"/>
    </xf>
    <xf numFmtId="171" fontId="6" fillId="4" borderId="7" xfId="5" applyNumberFormat="1" applyFont="1" applyFill="1" applyBorder="1" applyAlignment="1" applyProtection="1">
      <alignment vertical="center" wrapText="1"/>
      <protection locked="0"/>
    </xf>
    <xf numFmtId="171" fontId="10" fillId="4" borderId="7" xfId="5" applyNumberFormat="1" applyFont="1" applyFill="1" applyBorder="1" applyAlignment="1" applyProtection="1">
      <alignment vertical="center" wrapText="1"/>
      <protection locked="0"/>
    </xf>
    <xf numFmtId="0" fontId="61" fillId="3" borderId="7" xfId="0" applyFont="1" applyFill="1" applyBorder="1" applyAlignment="1">
      <alignment vertical="center" wrapText="1"/>
    </xf>
    <xf numFmtId="0" fontId="61" fillId="3" borderId="19" xfId="0" applyFont="1" applyFill="1" applyBorder="1" applyAlignment="1">
      <alignment horizontal="centerContinuous" vertical="center" wrapText="1"/>
    </xf>
    <xf numFmtId="0" fontId="61" fillId="3" borderId="7" xfId="0" applyFont="1" applyFill="1" applyBorder="1" applyAlignment="1">
      <alignment horizontal="center" vertical="center" wrapText="1"/>
    </xf>
    <xf numFmtId="9" fontId="10" fillId="3" borderId="7" xfId="0" applyNumberFormat="1" applyFont="1" applyFill="1" applyBorder="1" applyAlignment="1" applyProtection="1">
      <alignment horizontal="center" vertical="center" wrapText="1"/>
      <protection locked="0"/>
    </xf>
    <xf numFmtId="0" fontId="61" fillId="3" borderId="19" xfId="0" applyFont="1" applyFill="1" applyBorder="1" applyAlignment="1">
      <alignment horizontal="center" vertical="center" wrapText="1"/>
    </xf>
    <xf numFmtId="0" fontId="61" fillId="3" borderId="37" xfId="0" applyFont="1" applyFill="1" applyBorder="1" applyAlignment="1">
      <alignment vertical="center" wrapText="1"/>
    </xf>
    <xf numFmtId="0" fontId="61" fillId="3" borderId="38" xfId="0" applyFont="1" applyFill="1" applyBorder="1" applyAlignment="1">
      <alignment horizontal="centerContinuous" vertical="center" wrapText="1"/>
    </xf>
    <xf numFmtId="0" fontId="61" fillId="3" borderId="37" xfId="0" applyFont="1" applyFill="1" applyBorder="1" applyAlignment="1">
      <alignment horizontal="center" vertical="center" wrapText="1"/>
    </xf>
    <xf numFmtId="0" fontId="63" fillId="3" borderId="19" xfId="0" applyFont="1" applyFill="1" applyBorder="1" applyAlignment="1">
      <alignment horizontal="center" vertical="center" wrapText="1"/>
    </xf>
    <xf numFmtId="0" fontId="61" fillId="3" borderId="34" xfId="0" applyFont="1" applyFill="1" applyBorder="1" applyAlignment="1">
      <alignment horizontal="centerContinuous" vertical="center" wrapText="1"/>
    </xf>
    <xf numFmtId="2" fontId="10" fillId="3" borderId="7" xfId="0" applyNumberFormat="1" applyFont="1" applyFill="1" applyBorder="1" applyAlignment="1" applyProtection="1">
      <alignment horizontal="center" vertical="center" wrapText="1"/>
      <protection locked="0"/>
    </xf>
    <xf numFmtId="0" fontId="61" fillId="3" borderId="43" xfId="0" applyFont="1" applyFill="1" applyBorder="1" applyAlignment="1">
      <alignment horizontal="center" wrapText="1"/>
    </xf>
    <xf numFmtId="0" fontId="61" fillId="3" borderId="45" xfId="0" applyFont="1" applyFill="1" applyBorder="1" applyAlignment="1">
      <alignment horizontal="center" vertical="top" wrapText="1"/>
    </xf>
    <xf numFmtId="0" fontId="61" fillId="20" borderId="42" xfId="0" applyFont="1" applyFill="1" applyBorder="1" applyAlignment="1">
      <alignment vertical="center" wrapText="1"/>
    </xf>
    <xf numFmtId="0" fontId="61" fillId="20" borderId="42" xfId="0" applyFont="1" applyFill="1" applyBorder="1" applyAlignment="1">
      <alignment horizontal="center" vertical="center" wrapText="1"/>
    </xf>
    <xf numFmtId="0" fontId="61" fillId="3" borderId="42" xfId="0" applyFont="1" applyFill="1" applyBorder="1" applyAlignment="1">
      <alignment horizontal="center" vertical="center" wrapText="1"/>
    </xf>
    <xf numFmtId="0" fontId="61" fillId="3" borderId="50" xfId="0" applyFont="1" applyFill="1" applyBorder="1" applyAlignment="1">
      <alignment horizontal="center" wrapText="1"/>
    </xf>
    <xf numFmtId="0" fontId="61" fillId="0" borderId="52" xfId="0" applyFont="1" applyBorder="1" applyAlignment="1">
      <alignment horizontal="center" wrapText="1"/>
    </xf>
    <xf numFmtId="0" fontId="61" fillId="0" borderId="53" xfId="0" applyFont="1" applyBorder="1" applyAlignment="1">
      <alignment horizontal="center" vertical="top" wrapText="1"/>
    </xf>
    <xf numFmtId="0" fontId="61" fillId="20" borderId="49" xfId="0" applyFont="1" applyFill="1" applyBorder="1" applyAlignment="1">
      <alignment horizontal="centerContinuous" vertical="center" wrapText="1"/>
    </xf>
    <xf numFmtId="0" fontId="10" fillId="3" borderId="56"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61" fillId="3" borderId="50" xfId="0" applyFont="1" applyFill="1" applyBorder="1" applyAlignment="1">
      <alignment horizontal="center" vertical="center" wrapText="1"/>
    </xf>
    <xf numFmtId="0" fontId="61" fillId="20" borderId="50" xfId="0" applyFont="1" applyFill="1" applyBorder="1" applyAlignment="1">
      <alignment horizontal="center" vertical="center" wrapText="1"/>
    </xf>
    <xf numFmtId="0" fontId="61" fillId="3" borderId="42" xfId="0" applyFont="1" applyFill="1" applyBorder="1" applyAlignment="1">
      <alignment vertical="center" wrapText="1"/>
    </xf>
    <xf numFmtId="0" fontId="61" fillId="3" borderId="50" xfId="0" applyFont="1" applyFill="1" applyBorder="1" applyAlignment="1">
      <alignment horizontal="center" vertical="top" wrapText="1"/>
    </xf>
    <xf numFmtId="0" fontId="85" fillId="22" borderId="50" xfId="6" applyFont="1" applyFill="1" applyBorder="1" applyAlignment="1">
      <alignment horizontal="center" vertical="center" wrapText="1"/>
    </xf>
    <xf numFmtId="0" fontId="85" fillId="21" borderId="50" xfId="6" applyFont="1" applyFill="1" applyBorder="1" applyAlignment="1">
      <alignment horizontal="center" vertical="center" wrapText="1"/>
    </xf>
    <xf numFmtId="0" fontId="89" fillId="0" borderId="49" xfId="0" applyFont="1" applyBorder="1" applyAlignment="1">
      <alignment vertical="center" wrapText="1"/>
    </xf>
    <xf numFmtId="0" fontId="10" fillId="3" borderId="50"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61" fillId="20" borderId="47" xfId="0" applyFont="1" applyFill="1" applyBorder="1" applyAlignment="1">
      <alignment horizontal="center" vertical="center" wrapText="1"/>
    </xf>
    <xf numFmtId="0" fontId="35" fillId="11" borderId="8" xfId="0" applyFont="1" applyFill="1" applyBorder="1" applyAlignment="1">
      <alignment vertical="center" wrapText="1"/>
    </xf>
    <xf numFmtId="0" fontId="35" fillId="11" borderId="8" xfId="0" applyFont="1" applyFill="1" applyBorder="1" applyAlignment="1">
      <alignment horizontal="center" vertical="center" wrapText="1"/>
    </xf>
    <xf numFmtId="0" fontId="61" fillId="20" borderId="47" xfId="0" applyFont="1" applyFill="1" applyBorder="1" applyAlignment="1">
      <alignment vertical="center" wrapText="1"/>
    </xf>
    <xf numFmtId="0" fontId="61" fillId="20" borderId="46" xfId="0" applyFont="1" applyFill="1" applyBorder="1" applyAlignment="1">
      <alignment horizontal="centerContinuous" vertical="center" wrapText="1"/>
    </xf>
    <xf numFmtId="0" fontId="61" fillId="0" borderId="0" xfId="0" applyFont="1" applyBorder="1" applyAlignment="1">
      <alignment horizontal="center" vertical="top" wrapText="1"/>
    </xf>
    <xf numFmtId="0" fontId="33" fillId="3" borderId="0" xfId="0" applyFont="1" applyFill="1" applyBorder="1" applyAlignment="1">
      <alignment horizontal="center" vertical="center" wrapText="1"/>
    </xf>
    <xf numFmtId="0" fontId="61" fillId="20" borderId="45" xfId="0" applyFont="1" applyFill="1" applyBorder="1" applyAlignment="1">
      <alignment horizontal="center" vertical="center" wrapText="1"/>
    </xf>
    <xf numFmtId="0" fontId="10" fillId="20" borderId="42" xfId="0" applyFont="1" applyFill="1" applyBorder="1" applyAlignment="1">
      <alignment horizontal="center" vertical="center" wrapText="1"/>
    </xf>
    <xf numFmtId="0" fontId="91" fillId="0" borderId="0" xfId="0" applyFont="1"/>
    <xf numFmtId="0" fontId="91" fillId="3" borderId="0" xfId="0" applyFont="1" applyFill="1" applyAlignment="1">
      <alignment horizontal="center"/>
    </xf>
    <xf numFmtId="0" fontId="10" fillId="0" borderId="0" xfId="0" applyFont="1"/>
    <xf numFmtId="0" fontId="10" fillId="20" borderId="42" xfId="0" applyFont="1" applyFill="1" applyBorder="1"/>
    <xf numFmtId="0" fontId="10" fillId="20" borderId="49" xfId="0" applyFont="1" applyFill="1" applyBorder="1"/>
    <xf numFmtId="0" fontId="10" fillId="0" borderId="47" xfId="0" applyFont="1" applyBorder="1" applyAlignment="1"/>
    <xf numFmtId="0" fontId="10" fillId="0" borderId="42" xfId="0" applyFont="1" applyBorder="1"/>
    <xf numFmtId="0" fontId="10" fillId="0" borderId="48" xfId="0" applyFont="1" applyBorder="1" applyAlignment="1"/>
    <xf numFmtId="0" fontId="92" fillId="12" borderId="0" xfId="0" applyFont="1" applyFill="1"/>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171" fontId="27" fillId="3" borderId="7" xfId="5" applyNumberFormat="1" applyFont="1" applyFill="1" applyBorder="1" applyAlignment="1" applyProtection="1">
      <alignment vertical="center" wrapText="1"/>
      <protection locked="0"/>
    </xf>
    <xf numFmtId="0" fontId="33" fillId="11" borderId="7" xfId="0" applyFont="1" applyFill="1" applyBorder="1" applyAlignment="1">
      <alignment horizontal="center" vertical="center" wrapText="1"/>
    </xf>
    <xf numFmtId="0" fontId="4" fillId="0" borderId="0" xfId="0" applyFont="1" applyBorder="1" applyAlignment="1">
      <alignment horizontal="center" vertical="center" wrapText="1"/>
    </xf>
    <xf numFmtId="0" fontId="10" fillId="3" borderId="8" xfId="0" applyFont="1" applyFill="1" applyBorder="1" applyAlignment="1" applyProtection="1">
      <alignment horizontal="center" vertical="center" wrapText="1"/>
      <protection locked="0"/>
    </xf>
    <xf numFmtId="0" fontId="10" fillId="0" borderId="0" xfId="0" applyFont="1" applyAlignment="1">
      <alignment vertical="top" wrapText="1"/>
    </xf>
    <xf numFmtId="0" fontId="10" fillId="3" borderId="7" xfId="0" applyNumberFormat="1" applyFont="1" applyFill="1" applyBorder="1" applyAlignment="1" applyProtection="1">
      <alignment vertical="center" wrapText="1"/>
      <protection locked="0"/>
    </xf>
    <xf numFmtId="0" fontId="61" fillId="3" borderId="7" xfId="0" applyFont="1" applyFill="1" applyBorder="1" applyAlignment="1" applyProtection="1">
      <alignment horizontal="center" vertical="center" wrapText="1"/>
      <protection locked="0"/>
    </xf>
    <xf numFmtId="0" fontId="61" fillId="0" borderId="7" xfId="0" applyFont="1" applyBorder="1" applyAlignment="1">
      <alignment horizontal="center" vertical="center" wrapText="1"/>
    </xf>
    <xf numFmtId="0" fontId="10" fillId="3" borderId="0" xfId="0" applyFont="1" applyFill="1" applyBorder="1" applyAlignment="1" applyProtection="1">
      <alignment horizontal="center" vertical="center" wrapText="1"/>
      <protection locked="0"/>
    </xf>
    <xf numFmtId="0" fontId="61" fillId="0" borderId="0" xfId="0" applyFont="1" applyAlignment="1">
      <alignment horizontal="center"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33" fillId="11" borderId="7" xfId="0" applyFont="1" applyFill="1" applyBorder="1" applyAlignment="1">
      <alignment horizontal="center" vertical="center" wrapText="1"/>
    </xf>
    <xf numFmtId="43" fontId="0" fillId="0" borderId="0" xfId="0" applyNumberFormat="1" applyBorder="1"/>
    <xf numFmtId="43" fontId="4" fillId="0" borderId="0" xfId="0" applyNumberFormat="1" applyFont="1" applyBorder="1" applyAlignment="1">
      <alignment horizontal="center" vertical="center" wrapText="1"/>
    </xf>
    <xf numFmtId="43" fontId="0" fillId="0" borderId="0" xfId="0" applyNumberFormat="1"/>
    <xf numFmtId="43" fontId="4" fillId="3" borderId="0" xfId="0" applyNumberFormat="1" applyFont="1" applyFill="1"/>
    <xf numFmtId="43" fontId="4" fillId="0" borderId="0" xfId="0" applyNumberFormat="1" applyFont="1" applyBorder="1" applyAlignment="1">
      <alignment vertical="center" wrapText="1"/>
    </xf>
    <xf numFmtId="164" fontId="23" fillId="0" borderId="7" xfId="5" applyNumberFormat="1" applyFont="1" applyFill="1" applyBorder="1" applyAlignment="1">
      <alignment horizontal="right" vertical="center" wrapText="1"/>
    </xf>
    <xf numFmtId="164" fontId="94" fillId="0" borderId="7" xfId="5" applyFont="1" applyBorder="1" applyAlignment="1">
      <alignment horizontal="right" vertical="center" wrapText="1"/>
    </xf>
    <xf numFmtId="3" fontId="10" fillId="3" borderId="7" xfId="0" applyNumberFormat="1" applyFont="1" applyFill="1" applyBorder="1" applyAlignment="1" applyProtection="1">
      <alignment horizontal="center" vertical="center" wrapText="1"/>
      <protection locked="0"/>
    </xf>
    <xf numFmtId="0" fontId="10" fillId="20" borderId="7" xfId="0" applyFont="1" applyFill="1" applyBorder="1" applyAlignment="1" applyProtection="1">
      <alignment vertical="center" wrapText="1"/>
      <protection locked="0"/>
    </xf>
    <xf numFmtId="0" fontId="10" fillId="20" borderId="7" xfId="0" applyFont="1" applyFill="1" applyBorder="1" applyAlignment="1" applyProtection="1">
      <alignment horizontal="center" vertical="center" wrapText="1"/>
      <protection locked="0"/>
    </xf>
    <xf numFmtId="14" fontId="10" fillId="20" borderId="7" xfId="0" applyNumberFormat="1" applyFont="1" applyFill="1" applyBorder="1" applyAlignment="1" applyProtection="1">
      <alignment horizontal="center" vertical="center" wrapText="1"/>
      <protection locked="0"/>
    </xf>
    <xf numFmtId="170" fontId="15" fillId="3" borderId="0" xfId="5" applyNumberFormat="1" applyFont="1" applyFill="1" applyBorder="1" applyAlignment="1">
      <alignment horizontal="center" vertical="center" wrapText="1"/>
    </xf>
    <xf numFmtId="0" fontId="0" fillId="3" borderId="0" xfId="0" applyFill="1" applyAlignment="1">
      <alignment horizontal="center"/>
    </xf>
    <xf numFmtId="0" fontId="35" fillId="11" borderId="0" xfId="0" applyFont="1" applyFill="1" applyBorder="1" applyAlignment="1">
      <alignment horizontal="right" wrapText="1"/>
    </xf>
    <xf numFmtId="171" fontId="35" fillId="11" borderId="0" xfId="5" applyNumberFormat="1" applyFont="1" applyFill="1" applyBorder="1" applyAlignment="1">
      <alignment horizontal="right" vertical="center" wrapText="1"/>
    </xf>
    <xf numFmtId="166" fontId="35" fillId="11" borderId="0" xfId="0" applyNumberFormat="1" applyFont="1" applyFill="1" applyBorder="1" applyAlignment="1">
      <alignment horizontal="right" vertical="center" wrapText="1"/>
    </xf>
    <xf numFmtId="3" fontId="35" fillId="11" borderId="0" xfId="0" applyNumberFormat="1" applyFont="1" applyFill="1" applyBorder="1" applyAlignment="1">
      <alignment horizontal="right" wrapText="1"/>
    </xf>
    <xf numFmtId="166" fontId="35" fillId="11" borderId="0" xfId="0" applyNumberFormat="1" applyFont="1" applyFill="1" applyBorder="1" applyAlignment="1">
      <alignment horizontal="right" wrapText="1"/>
    </xf>
    <xf numFmtId="0" fontId="61" fillId="3" borderId="42"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61" fillId="3" borderId="42" xfId="0" applyFont="1" applyFill="1" applyBorder="1" applyAlignment="1">
      <alignment vertical="center" wrapText="1"/>
    </xf>
    <xf numFmtId="0" fontId="5" fillId="3" borderId="0" xfId="0" applyFont="1" applyFill="1" applyBorder="1" applyAlignment="1">
      <alignment horizontal="center" vertical="center" wrapText="1" readingOrder="1"/>
    </xf>
    <xf numFmtId="171" fontId="35" fillId="11" borderId="0" xfId="5" applyNumberFormat="1" applyFont="1" applyFill="1" applyBorder="1" applyAlignment="1">
      <alignment horizontal="right" wrapText="1"/>
    </xf>
    <xf numFmtId="173" fontId="27" fillId="3" borderId="7" xfId="0" applyNumberFormat="1" applyFont="1" applyFill="1" applyBorder="1" applyAlignment="1" applyProtection="1">
      <alignment vertical="center" wrapText="1"/>
      <protection locked="0"/>
    </xf>
    <xf numFmtId="0" fontId="0" fillId="3" borderId="0" xfId="0" applyFill="1" applyAlignment="1">
      <alignment vertical="center" wrapText="1"/>
    </xf>
    <xf numFmtId="0" fontId="95" fillId="0" borderId="0" xfId="7"/>
    <xf numFmtId="4" fontId="97" fillId="0" borderId="0" xfId="7" applyNumberFormat="1" applyFont="1" applyFill="1" applyBorder="1" applyAlignment="1">
      <alignment horizontal="right" vertical="center" wrapText="1" shrinkToFit="1"/>
    </xf>
    <xf numFmtId="0" fontId="97" fillId="0" borderId="0" xfId="7" applyFont="1" applyFill="1" applyBorder="1" applyAlignment="1">
      <alignment horizontal="left" vertical="top" wrapText="1" shrinkToFit="1"/>
    </xf>
    <xf numFmtId="4" fontId="97" fillId="24" borderId="0" xfId="7" applyNumberFormat="1" applyFont="1" applyFill="1" applyBorder="1" applyAlignment="1">
      <alignment horizontal="right" vertical="center" wrapText="1" shrinkToFit="1"/>
    </xf>
    <xf numFmtId="0" fontId="97" fillId="24" borderId="0" xfId="7" applyFont="1" applyFill="1" applyBorder="1" applyAlignment="1">
      <alignment horizontal="left" vertical="top" wrapText="1" shrinkToFit="1"/>
    </xf>
    <xf numFmtId="0" fontId="99" fillId="25" borderId="63" xfId="7" applyFont="1" applyFill="1" applyBorder="1" applyAlignment="1">
      <alignment horizontal="center" vertical="center" wrapText="1" shrinkToFit="1"/>
    </xf>
    <xf numFmtId="0" fontId="99" fillId="25" borderId="63" xfId="7" applyFont="1" applyFill="1" applyBorder="1" applyAlignment="1">
      <alignment horizontal="right" vertical="center" wrapText="1" shrinkToFit="1"/>
    </xf>
    <xf numFmtId="0" fontId="99" fillId="25" borderId="64" xfId="7" applyFont="1" applyFill="1" applyBorder="1" applyAlignment="1">
      <alignment horizontal="left" vertical="center" wrapText="1" shrinkToFit="1"/>
    </xf>
    <xf numFmtId="4" fontId="0" fillId="0" borderId="0" xfId="0" applyNumberFormat="1" applyAlignment="1">
      <alignment vertical="center" wrapText="1"/>
    </xf>
    <xf numFmtId="41" fontId="12" fillId="3" borderId="7" xfId="0" applyNumberFormat="1" applyFont="1" applyFill="1" applyBorder="1" applyAlignment="1">
      <alignment horizontal="left" vertical="center" wrapText="1"/>
    </xf>
    <xf numFmtId="0" fontId="61" fillId="3" borderId="49" xfId="0" applyFont="1" applyFill="1" applyBorder="1" applyAlignment="1">
      <alignment horizontal="centerContinuous" vertical="center" wrapText="1"/>
    </xf>
    <xf numFmtId="0" fontId="10" fillId="3" borderId="42" xfId="0" applyFont="1" applyFill="1" applyBorder="1"/>
    <xf numFmtId="0" fontId="10" fillId="3" borderId="47" xfId="0" applyFont="1" applyFill="1" applyBorder="1" applyAlignment="1"/>
    <xf numFmtId="0" fontId="10" fillId="3" borderId="47" xfId="0" applyFont="1" applyFill="1" applyBorder="1" applyAlignment="1">
      <alignment wrapText="1"/>
    </xf>
    <xf numFmtId="0" fontId="10" fillId="0" borderId="0" xfId="0" applyFont="1" applyAlignment="1">
      <alignment horizontal="center"/>
    </xf>
    <xf numFmtId="0" fontId="61" fillId="3" borderId="42" xfId="0" applyFont="1" applyFill="1" applyBorder="1" applyAlignment="1">
      <alignment horizontal="center" vertical="center"/>
    </xf>
    <xf numFmtId="3" fontId="10" fillId="0" borderId="47" xfId="0" applyNumberFormat="1" applyFont="1" applyBorder="1" applyAlignment="1"/>
    <xf numFmtId="3" fontId="10" fillId="0" borderId="46" xfId="0" applyNumberFormat="1" applyFont="1" applyBorder="1" applyAlignment="1">
      <alignment horizontal="center"/>
    </xf>
    <xf numFmtId="0" fontId="10" fillId="13" borderId="0" xfId="0" applyFont="1" applyFill="1"/>
    <xf numFmtId="0" fontId="10" fillId="13" borderId="0" xfId="0" applyFont="1" applyFill="1" applyAlignment="1">
      <alignment horizontal="center"/>
    </xf>
    <xf numFmtId="0" fontId="107" fillId="13" borderId="0" xfId="0" applyFont="1" applyFill="1"/>
    <xf numFmtId="0" fontId="0" fillId="0" borderId="0" xfId="0"/>
    <xf numFmtId="0" fontId="0" fillId="3" borderId="0" xfId="0" applyFill="1"/>
    <xf numFmtId="3" fontId="0" fillId="0" borderId="0" xfId="0" applyNumberFormat="1"/>
    <xf numFmtId="41" fontId="0" fillId="3" borderId="0" xfId="0" applyNumberFormat="1" applyFill="1"/>
    <xf numFmtId="0" fontId="6" fillId="26" borderId="7" xfId="0" applyFont="1" applyFill="1" applyBorder="1" applyAlignment="1" applyProtection="1">
      <alignment horizontal="center" vertical="center" wrapText="1"/>
      <protection locked="0"/>
    </xf>
    <xf numFmtId="0" fontId="9" fillId="0" borderId="0" xfId="0" applyFont="1" applyBorder="1" applyAlignment="1">
      <alignment vertical="center"/>
    </xf>
    <xf numFmtId="3" fontId="9" fillId="0" borderId="0" xfId="0" applyNumberFormat="1" applyFont="1" applyBorder="1" applyAlignment="1">
      <alignment vertical="center"/>
    </xf>
    <xf numFmtId="173" fontId="6" fillId="12" borderId="16" xfId="0" applyNumberFormat="1" applyFont="1" applyFill="1" applyBorder="1" applyAlignment="1">
      <alignment vertical="center" wrapText="1"/>
    </xf>
    <xf numFmtId="174" fontId="0" fillId="0" borderId="0" xfId="0" applyNumberFormat="1"/>
    <xf numFmtId="0" fontId="5" fillId="3" borderId="0" xfId="0" applyFont="1" applyFill="1" applyBorder="1" applyAlignment="1">
      <alignment vertical="center" wrapText="1"/>
    </xf>
    <xf numFmtId="3" fontId="5" fillId="3" borderId="0" xfId="0" applyNumberFormat="1" applyFont="1" applyFill="1" applyBorder="1" applyAlignment="1">
      <alignment vertical="center" wrapText="1"/>
    </xf>
    <xf numFmtId="41" fontId="6" fillId="3" borderId="0" xfId="0" applyNumberFormat="1" applyFont="1" applyFill="1"/>
    <xf numFmtId="3" fontId="12" fillId="3" borderId="0" xfId="4" applyNumberFormat="1" applyFont="1" applyFill="1" applyBorder="1" applyAlignment="1">
      <alignment horizontal="left" vertical="center" wrapText="1"/>
    </xf>
    <xf numFmtId="175" fontId="12" fillId="3" borderId="0" xfId="5" applyNumberFormat="1" applyFont="1" applyFill="1" applyBorder="1" applyAlignment="1">
      <alignment horizontal="left" vertical="center" wrapText="1"/>
    </xf>
    <xf numFmtId="3" fontId="0" fillId="3" borderId="0" xfId="0" applyNumberFormat="1" applyFill="1" applyAlignment="1">
      <alignment wrapText="1"/>
    </xf>
    <xf numFmtId="4" fontId="0" fillId="3" borderId="0" xfId="0" applyNumberFormat="1" applyFill="1" applyAlignment="1">
      <alignment vertical="center"/>
    </xf>
    <xf numFmtId="4" fontId="6" fillId="3" borderId="0" xfId="0" applyNumberFormat="1" applyFont="1" applyFill="1"/>
    <xf numFmtId="3" fontId="24" fillId="7" borderId="7" xfId="5" applyNumberFormat="1" applyFont="1" applyFill="1" applyBorder="1" applyAlignment="1">
      <alignment horizontal="right" wrapText="1"/>
    </xf>
    <xf numFmtId="168" fontId="15" fillId="0" borderId="0" xfId="0" applyNumberFormat="1" applyFont="1"/>
    <xf numFmtId="171" fontId="35" fillId="13" borderId="7" xfId="5" applyNumberFormat="1" applyFont="1" applyFill="1" applyBorder="1" applyAlignment="1">
      <alignment horizontal="right" wrapText="1"/>
    </xf>
    <xf numFmtId="0" fontId="108" fillId="3" borderId="0" xfId="0" applyFont="1" applyFill="1"/>
    <xf numFmtId="0" fontId="107" fillId="3" borderId="0" xfId="0" applyFont="1" applyFill="1"/>
    <xf numFmtId="165" fontId="10" fillId="3" borderId="0" xfId="0" applyNumberFormat="1" applyFont="1" applyFill="1"/>
    <xf numFmtId="41" fontId="40" fillId="3" borderId="7" xfId="0" applyNumberFormat="1" applyFont="1" applyFill="1" applyBorder="1" applyAlignment="1">
      <alignment horizontal="right" vertical="center" wrapText="1"/>
    </xf>
    <xf numFmtId="41" fontId="40" fillId="3" borderId="7" xfId="0" applyNumberFormat="1" applyFont="1" applyFill="1" applyBorder="1" applyAlignment="1">
      <alignment horizontal="left" vertical="center" wrapText="1"/>
    </xf>
    <xf numFmtId="0" fontId="4" fillId="0" borderId="0" xfId="0" applyFont="1" applyBorder="1" applyAlignment="1">
      <alignment horizontal="center" vertical="center" wrapText="1"/>
    </xf>
    <xf numFmtId="0" fontId="33" fillId="11" borderId="7" xfId="0" applyFont="1" applyFill="1" applyBorder="1" applyAlignment="1">
      <alignment horizontal="center" vertical="center" wrapText="1"/>
    </xf>
    <xf numFmtId="176" fontId="5" fillId="4" borderId="7" xfId="0" applyNumberFormat="1" applyFont="1" applyFill="1" applyBorder="1" applyAlignment="1">
      <alignment vertical="center" wrapText="1"/>
    </xf>
    <xf numFmtId="164" fontId="29" fillId="11" borderId="17" xfId="5" applyNumberFormat="1" applyFont="1" applyFill="1" applyBorder="1" applyAlignment="1">
      <alignment vertical="center" wrapText="1"/>
    </xf>
    <xf numFmtId="0" fontId="6" fillId="0" borderId="7" xfId="0" applyFont="1" applyBorder="1" applyAlignment="1" applyProtection="1">
      <alignment horizontal="left" vertical="center" wrapText="1"/>
      <protection locked="0"/>
    </xf>
    <xf numFmtId="176" fontId="5" fillId="3" borderId="7" xfId="0" applyNumberFormat="1" applyFont="1" applyFill="1" applyBorder="1" applyAlignment="1">
      <alignment vertical="center" wrapText="1"/>
    </xf>
    <xf numFmtId="164" fontId="35" fillId="11" borderId="0" xfId="5" applyNumberFormat="1" applyFont="1" applyFill="1" applyBorder="1" applyAlignment="1">
      <alignment horizontal="right" wrapText="1"/>
    </xf>
    <xf numFmtId="164" fontId="35" fillId="11" borderId="0" xfId="5" applyFont="1" applyFill="1" applyBorder="1" applyAlignment="1">
      <alignment horizontal="right" wrapText="1"/>
    </xf>
    <xf numFmtId="43" fontId="0" fillId="0" borderId="0" xfId="8" applyFont="1" applyFill="1" applyBorder="1"/>
    <xf numFmtId="3" fontId="0" fillId="3" borderId="0" xfId="0" applyNumberFormat="1" applyFill="1"/>
    <xf numFmtId="0" fontId="33" fillId="11" borderId="7" xfId="0" applyFont="1" applyFill="1" applyBorder="1" applyAlignment="1">
      <alignment horizontal="center" vertical="center" wrapText="1"/>
    </xf>
    <xf numFmtId="171" fontId="6" fillId="12" borderId="7" xfId="5" applyNumberFormat="1" applyFont="1" applyFill="1" applyBorder="1" applyAlignment="1" applyProtection="1">
      <alignment vertical="center" wrapText="1"/>
      <protection locked="0"/>
    </xf>
    <xf numFmtId="4" fontId="24" fillId="7" borderId="7" xfId="5" applyNumberFormat="1" applyFont="1" applyFill="1" applyBorder="1" applyAlignment="1">
      <alignment horizontal="right" wrapText="1"/>
    </xf>
    <xf numFmtId="176" fontId="24" fillId="7" borderId="7" xfId="0" applyNumberFormat="1" applyFont="1" applyFill="1" applyBorder="1" applyAlignment="1">
      <alignment horizontal="right" wrapText="1"/>
    </xf>
    <xf numFmtId="41" fontId="0" fillId="0" borderId="0" xfId="0" applyNumberFormat="1"/>
    <xf numFmtId="4" fontId="5" fillId="3" borderId="0" xfId="0" applyNumberFormat="1" applyFont="1" applyFill="1" applyBorder="1" applyAlignment="1">
      <alignment vertical="center" wrapText="1"/>
    </xf>
    <xf numFmtId="164" fontId="23" fillId="3" borderId="7" xfId="5" applyNumberFormat="1" applyFont="1" applyFill="1" applyBorder="1" applyAlignment="1">
      <alignment horizontal="right" vertical="center" wrapText="1"/>
    </xf>
    <xf numFmtId="164" fontId="94" fillId="3" borderId="7" xfId="5" applyFont="1" applyFill="1" applyBorder="1" applyAlignment="1">
      <alignment horizontal="right" vertical="center" wrapText="1"/>
    </xf>
    <xf numFmtId="0" fontId="0" fillId="23" borderId="0" xfId="0" applyFill="1" applyAlignment="1">
      <alignment horizontal="left" wrapText="1"/>
    </xf>
    <xf numFmtId="0" fontId="29" fillId="13" borderId="12" xfId="0" applyFont="1" applyFill="1" applyBorder="1" applyAlignment="1">
      <alignment horizontal="center" vertical="center"/>
    </xf>
    <xf numFmtId="0" fontId="29" fillId="13" borderId="0" xfId="0" applyFont="1" applyFill="1" applyBorder="1" applyAlignment="1">
      <alignment horizontal="center" vertical="center"/>
    </xf>
    <xf numFmtId="0" fontId="10" fillId="3" borderId="12"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40" fillId="5" borderId="7" xfId="0" applyFont="1" applyFill="1" applyBorder="1" applyAlignment="1">
      <alignment horizontal="left" vertical="center" wrapText="1" readingOrder="1"/>
    </xf>
    <xf numFmtId="0" fontId="29" fillId="11" borderId="7" xfId="0" applyFont="1" applyFill="1" applyBorder="1" applyAlignment="1">
      <alignment horizontal="left" vertical="center"/>
    </xf>
    <xf numFmtId="0" fontId="38" fillId="12" borderId="35" xfId="0" applyFont="1" applyFill="1" applyBorder="1" applyAlignment="1">
      <alignment horizontal="left" vertical="center" wrapText="1"/>
    </xf>
    <xf numFmtId="0" fontId="35" fillId="11" borderId="7" xfId="0" applyFont="1" applyFill="1" applyBorder="1" applyAlignment="1">
      <alignment horizontal="left" vertical="center"/>
    </xf>
    <xf numFmtId="0" fontId="33" fillId="11" borderId="7" xfId="0" applyFont="1" applyFill="1" applyBorder="1" applyAlignment="1">
      <alignment horizontal="left" vertical="center" wrapText="1"/>
    </xf>
    <xf numFmtId="0" fontId="35" fillId="11" borderId="19" xfId="0" applyFont="1" applyFill="1" applyBorder="1" applyAlignment="1">
      <alignment horizontal="left" vertical="center" wrapText="1"/>
    </xf>
    <xf numFmtId="0" fontId="35" fillId="11" borderId="15" xfId="0" applyFont="1" applyFill="1" applyBorder="1" applyAlignment="1">
      <alignment horizontal="left" vertical="center" wrapText="1"/>
    </xf>
    <xf numFmtId="0" fontId="35" fillId="11" borderId="9" xfId="0" applyFont="1" applyFill="1" applyBorder="1" applyAlignment="1">
      <alignment horizontal="left" vertical="center" wrapText="1"/>
    </xf>
    <xf numFmtId="0" fontId="49" fillId="12" borderId="20" xfId="0" applyFont="1" applyFill="1" applyBorder="1" applyAlignment="1">
      <alignment horizontal="left" vertical="center" wrapText="1"/>
    </xf>
    <xf numFmtId="0" fontId="49" fillId="12" borderId="21" xfId="0" applyFont="1" applyFill="1" applyBorder="1" applyAlignment="1">
      <alignment horizontal="left" vertical="center" wrapText="1"/>
    </xf>
    <xf numFmtId="0" fontId="49" fillId="12" borderId="22" xfId="0" applyFont="1" applyFill="1" applyBorder="1" applyAlignment="1">
      <alignment horizontal="left" vertical="center" wrapText="1"/>
    </xf>
    <xf numFmtId="0" fontId="10" fillId="0" borderId="48" xfId="0" applyFont="1" applyBorder="1" applyAlignment="1">
      <alignment horizontal="center"/>
    </xf>
    <xf numFmtId="0" fontId="10" fillId="0" borderId="47" xfId="0" applyFont="1" applyBorder="1" applyAlignment="1">
      <alignment horizontal="center"/>
    </xf>
    <xf numFmtId="0" fontId="10" fillId="0" borderId="62" xfId="0" applyFont="1" applyBorder="1" applyAlignment="1">
      <alignment horizontal="center"/>
    </xf>
    <xf numFmtId="0" fontId="10" fillId="0" borderId="51" xfId="0" applyFont="1" applyBorder="1" applyAlignment="1">
      <alignment horizontal="center"/>
    </xf>
    <xf numFmtId="0" fontId="35" fillId="11" borderId="24" xfId="0" applyFont="1" applyFill="1" applyBorder="1" applyAlignment="1">
      <alignment horizontal="center" vertical="center" wrapText="1"/>
    </xf>
    <xf numFmtId="0" fontId="35" fillId="11" borderId="26" xfId="0" applyFont="1" applyFill="1" applyBorder="1" applyAlignment="1">
      <alignment horizontal="center" vertical="center" wrapText="1"/>
    </xf>
    <xf numFmtId="0" fontId="35" fillId="11" borderId="32" xfId="0" applyFont="1" applyFill="1" applyBorder="1" applyAlignment="1">
      <alignment horizontal="center" vertical="center" wrapText="1"/>
    </xf>
    <xf numFmtId="0" fontId="35" fillId="11" borderId="54" xfId="0" applyFont="1" applyFill="1" applyBorder="1" applyAlignment="1">
      <alignment horizontal="center" vertical="center" wrapText="1"/>
    </xf>
    <xf numFmtId="0" fontId="61" fillId="3" borderId="48"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10" fillId="3" borderId="48" xfId="0" applyFont="1" applyFill="1" applyBorder="1" applyAlignment="1">
      <alignment horizontal="center"/>
    </xf>
    <xf numFmtId="0" fontId="10" fillId="3" borderId="47" xfId="0" applyFont="1" applyFill="1" applyBorder="1" applyAlignment="1">
      <alignment horizontal="center"/>
    </xf>
    <xf numFmtId="41" fontId="10" fillId="3" borderId="62" xfId="0" applyNumberFormat="1" applyFont="1" applyFill="1" applyBorder="1" applyAlignment="1">
      <alignment horizontal="center"/>
    </xf>
    <xf numFmtId="41" fontId="10" fillId="3" borderId="47" xfId="0" applyNumberFormat="1" applyFont="1" applyFill="1" applyBorder="1" applyAlignment="1">
      <alignment horizontal="center"/>
    </xf>
    <xf numFmtId="9" fontId="10" fillId="3" borderId="48" xfId="0" applyNumberFormat="1" applyFont="1" applyFill="1" applyBorder="1" applyAlignment="1">
      <alignment horizontal="center"/>
    </xf>
    <xf numFmtId="10" fontId="10" fillId="3" borderId="48" xfId="0" applyNumberFormat="1" applyFont="1" applyFill="1" applyBorder="1" applyAlignment="1">
      <alignment horizontal="center"/>
    </xf>
    <xf numFmtId="0" fontId="85" fillId="22" borderId="42" xfId="6" applyFont="1" applyFill="1" applyBorder="1" applyAlignment="1">
      <alignment horizontal="center" vertical="center"/>
    </xf>
    <xf numFmtId="9" fontId="10" fillId="0" borderId="48" xfId="0" applyNumberFormat="1" applyFont="1" applyBorder="1" applyAlignment="1">
      <alignment horizontal="center"/>
    </xf>
    <xf numFmtId="0" fontId="61" fillId="3" borderId="42" xfId="0" applyFont="1" applyFill="1" applyBorder="1" applyAlignment="1">
      <alignment horizontal="center" vertical="center" wrapText="1"/>
    </xf>
    <xf numFmtId="0" fontId="85" fillId="21" borderId="49" xfId="6" applyFont="1" applyFill="1" applyBorder="1" applyAlignment="1">
      <alignment horizontal="center" vertical="center" wrapText="1"/>
    </xf>
    <xf numFmtId="0" fontId="85" fillId="21" borderId="42" xfId="6" applyFont="1" applyFill="1" applyBorder="1" applyAlignment="1">
      <alignment horizontal="center" vertical="center" wrapText="1"/>
    </xf>
    <xf numFmtId="0" fontId="35" fillId="11" borderId="33" xfId="0" applyFont="1" applyFill="1" applyBorder="1" applyAlignment="1">
      <alignment horizontal="center" vertical="center" wrapText="1"/>
    </xf>
    <xf numFmtId="0" fontId="10" fillId="0" borderId="61" xfId="0" applyFont="1" applyBorder="1" applyAlignment="1">
      <alignment horizontal="center"/>
    </xf>
    <xf numFmtId="10" fontId="10" fillId="0" borderId="48" xfId="0" applyNumberFormat="1" applyFont="1" applyBorder="1" applyAlignment="1">
      <alignment horizontal="center"/>
    </xf>
    <xf numFmtId="0" fontId="35" fillId="11" borderId="34" xfId="0" applyFont="1" applyFill="1" applyBorder="1" applyAlignment="1">
      <alignment horizontal="left" vertical="center" wrapText="1"/>
    </xf>
    <xf numFmtId="0" fontId="35" fillId="11" borderId="35" xfId="0" applyFont="1" applyFill="1" applyBorder="1" applyAlignment="1">
      <alignment horizontal="left" vertical="center" wrapText="1"/>
    </xf>
    <xf numFmtId="0" fontId="35" fillId="11" borderId="60" xfId="0" applyFont="1" applyFill="1" applyBorder="1" applyAlignment="1">
      <alignment horizontal="left" vertical="center" wrapText="1"/>
    </xf>
    <xf numFmtId="0" fontId="61" fillId="0" borderId="42" xfId="0" applyFont="1" applyBorder="1" applyAlignment="1">
      <alignment horizontal="center" vertical="center" wrapText="1"/>
    </xf>
    <xf numFmtId="0" fontId="61" fillId="3" borderId="49" xfId="0" applyFont="1" applyFill="1" applyBorder="1" applyAlignment="1">
      <alignment horizontal="center" vertical="center" wrapText="1"/>
    </xf>
    <xf numFmtId="0" fontId="61" fillId="3" borderId="58" xfId="0" applyFont="1" applyFill="1" applyBorder="1" applyAlignment="1">
      <alignment horizontal="center" vertical="center" wrapText="1"/>
    </xf>
    <xf numFmtId="0" fontId="61" fillId="3" borderId="59" xfId="0" applyFont="1" applyFill="1" applyBorder="1" applyAlignment="1">
      <alignment horizontal="center" vertical="center" wrapText="1"/>
    </xf>
    <xf numFmtId="0" fontId="61" fillId="3" borderId="44"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35" fillId="11" borderId="19" xfId="0" applyFont="1" applyFill="1" applyBorder="1" applyAlignment="1">
      <alignment horizontal="center" vertical="center" wrapText="1"/>
    </xf>
    <xf numFmtId="0" fontId="35" fillId="11" borderId="9" xfId="0" applyFont="1" applyFill="1" applyBorder="1" applyAlignment="1">
      <alignment horizontal="center" vertical="center" wrapText="1"/>
    </xf>
    <xf numFmtId="0" fontId="61" fillId="0" borderId="44" xfId="0" applyFont="1" applyBorder="1" applyAlignment="1">
      <alignment horizontal="center" vertical="center" wrapText="1"/>
    </xf>
    <xf numFmtId="0" fontId="61" fillId="0" borderId="46" xfId="0" applyFont="1" applyBorder="1" applyAlignment="1">
      <alignment horizontal="center" vertical="center" wrapText="1"/>
    </xf>
    <xf numFmtId="0" fontId="61" fillId="3" borderId="42" xfId="0" applyFont="1" applyFill="1" applyBorder="1" applyAlignment="1">
      <alignment horizontal="left" vertical="center" wrapText="1"/>
    </xf>
    <xf numFmtId="0" fontId="61" fillId="3" borderId="42" xfId="0" applyFont="1" applyFill="1" applyBorder="1" applyAlignment="1">
      <alignment vertical="center" wrapText="1"/>
    </xf>
    <xf numFmtId="0" fontId="61" fillId="3" borderId="42" xfId="0" applyFont="1" applyFill="1" applyBorder="1" applyAlignment="1">
      <alignment horizontal="center" wrapText="1"/>
    </xf>
    <xf numFmtId="0" fontId="85" fillId="22" borderId="49" xfId="6" applyFont="1" applyFill="1" applyBorder="1" applyAlignment="1">
      <alignment horizontal="center" vertical="center" wrapText="1"/>
    </xf>
    <xf numFmtId="0" fontId="10" fillId="3" borderId="42" xfId="0" applyFont="1" applyFill="1" applyBorder="1" applyAlignment="1">
      <alignment horizontal="center" vertical="center" wrapText="1"/>
    </xf>
    <xf numFmtId="0" fontId="61" fillId="0" borderId="54" xfId="0" applyFont="1" applyBorder="1" applyAlignment="1">
      <alignment horizontal="center" vertical="center" wrapText="1"/>
    </xf>
    <xf numFmtId="0" fontId="61" fillId="3" borderId="55" xfId="0" applyFont="1" applyFill="1" applyBorder="1" applyAlignment="1">
      <alignment horizontal="center" vertical="center" wrapText="1"/>
    </xf>
    <xf numFmtId="0" fontId="61" fillId="3" borderId="53" xfId="0" applyFont="1" applyFill="1" applyBorder="1" applyAlignment="1">
      <alignment horizontal="center" vertical="center" wrapText="1"/>
    </xf>
    <xf numFmtId="0" fontId="61" fillId="3" borderId="47"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61" fillId="3" borderId="42" xfId="0" applyFont="1" applyFill="1" applyBorder="1" applyAlignment="1">
      <alignment horizontal="center" vertical="top" wrapText="1"/>
    </xf>
    <xf numFmtId="0" fontId="35" fillId="11" borderId="32" xfId="0" applyFont="1" applyFill="1" applyBorder="1" applyAlignment="1">
      <alignment horizontal="left" vertical="center"/>
    </xf>
    <xf numFmtId="0" fontId="35" fillId="11" borderId="0" xfId="0" applyFont="1" applyFill="1" applyBorder="1" applyAlignment="1">
      <alignment horizontal="left" vertical="center"/>
    </xf>
    <xf numFmtId="0" fontId="33" fillId="11" borderId="32" xfId="0" applyFont="1" applyFill="1" applyBorder="1" applyAlignment="1">
      <alignment horizontal="left" vertical="center" wrapText="1"/>
    </xf>
    <xf numFmtId="0" fontId="33" fillId="11" borderId="0" xfId="0" applyFont="1" applyFill="1" applyBorder="1" applyAlignment="1">
      <alignment horizontal="left" vertical="center" wrapText="1"/>
    </xf>
    <xf numFmtId="0" fontId="10" fillId="0" borderId="56" xfId="0" applyFont="1" applyBorder="1" applyAlignment="1">
      <alignment horizontal="center"/>
    </xf>
    <xf numFmtId="0" fontId="10" fillId="0" borderId="0" xfId="0" applyFont="1" applyAlignment="1">
      <alignment horizontal="center"/>
    </xf>
    <xf numFmtId="41" fontId="107" fillId="3" borderId="56" xfId="0" applyNumberFormat="1" applyFont="1" applyFill="1" applyBorder="1" applyAlignment="1">
      <alignment horizontal="center"/>
    </xf>
    <xf numFmtId="0" fontId="107" fillId="3" borderId="0" xfId="0" applyFont="1" applyFill="1" applyAlignment="1">
      <alignment horizontal="center"/>
    </xf>
    <xf numFmtId="0" fontId="107" fillId="3" borderId="56" xfId="0" applyFont="1" applyFill="1" applyBorder="1" applyAlignment="1">
      <alignment horizontal="center"/>
    </xf>
    <xf numFmtId="10" fontId="107" fillId="3" borderId="56" xfId="0" applyNumberFormat="1" applyFont="1" applyFill="1" applyBorder="1" applyAlignment="1">
      <alignment horizontal="center"/>
    </xf>
    <xf numFmtId="0" fontId="10" fillId="0" borderId="56" xfId="0" applyFont="1" applyBorder="1" applyAlignment="1">
      <alignment horizontal="center" vertical="center"/>
    </xf>
    <xf numFmtId="0" fontId="10" fillId="0" borderId="0" xfId="0" applyFont="1" applyBorder="1" applyAlignment="1">
      <alignment horizontal="center" vertical="center"/>
    </xf>
    <xf numFmtId="0" fontId="6" fillId="0" borderId="0" xfId="0" applyFont="1" applyBorder="1" applyAlignment="1">
      <alignment horizontal="center" vertical="center" wrapText="1"/>
    </xf>
    <xf numFmtId="0" fontId="29" fillId="11" borderId="7" xfId="0" applyFont="1" applyFill="1" applyBorder="1" applyAlignment="1">
      <alignment horizontal="left" vertical="center" wrapText="1"/>
    </xf>
    <xf numFmtId="0" fontId="15" fillId="3" borderId="7" xfId="0" applyFont="1" applyFill="1" applyBorder="1" applyAlignment="1" applyProtection="1">
      <alignment vertical="top" wrapText="1"/>
      <protection locked="0"/>
    </xf>
    <xf numFmtId="0" fontId="29" fillId="11" borderId="10" xfId="0" applyFont="1" applyFill="1" applyBorder="1" applyAlignment="1">
      <alignment horizontal="center" vertical="center" wrapText="1"/>
    </xf>
    <xf numFmtId="0" fontId="29" fillId="11" borderId="7" xfId="0" applyFont="1" applyFill="1" applyBorder="1" applyAlignment="1">
      <alignment horizontal="center" vertical="center" wrapText="1"/>
    </xf>
    <xf numFmtId="0" fontId="29" fillId="11" borderId="39" xfId="0" applyFont="1" applyFill="1" applyBorder="1" applyAlignment="1">
      <alignment horizontal="right" vertical="center" wrapText="1"/>
    </xf>
    <xf numFmtId="0" fontId="29" fillId="11" borderId="40" xfId="0" applyFont="1" applyFill="1" applyBorder="1" applyAlignment="1">
      <alignment horizontal="right" vertical="center" wrapText="1"/>
    </xf>
    <xf numFmtId="0" fontId="29" fillId="11" borderId="41" xfId="0" applyFont="1" applyFill="1" applyBorder="1" applyAlignment="1">
      <alignment horizontal="right" vertical="center" wrapText="1"/>
    </xf>
    <xf numFmtId="0" fontId="29" fillId="11" borderId="19"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36" fillId="12" borderId="0" xfId="0" applyFont="1" applyFill="1" applyBorder="1" applyAlignment="1">
      <alignment horizontal="left" vertical="center" wrapText="1"/>
    </xf>
    <xf numFmtId="0" fontId="29" fillId="11" borderId="23"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18" xfId="0" applyFont="1" applyFill="1" applyBorder="1" applyAlignment="1">
      <alignment horizontal="center" vertical="center" wrapText="1"/>
    </xf>
    <xf numFmtId="4" fontId="97" fillId="24" borderId="0" xfId="7" applyNumberFormat="1" applyFont="1" applyFill="1" applyBorder="1" applyAlignment="1">
      <alignment horizontal="right" vertical="center" wrapText="1" shrinkToFit="1"/>
    </xf>
    <xf numFmtId="4" fontId="97" fillId="0" borderId="0" xfId="7" applyNumberFormat="1" applyFont="1" applyFill="1" applyBorder="1" applyAlignment="1">
      <alignment horizontal="right" vertical="center" wrapText="1" shrinkToFit="1"/>
    </xf>
    <xf numFmtId="0" fontId="106" fillId="0" borderId="0" xfId="7" applyFont="1" applyFill="1" applyBorder="1" applyAlignment="1">
      <alignment horizontal="left" vertical="top" wrapText="1" shrinkToFit="1"/>
    </xf>
    <xf numFmtId="0" fontId="104" fillId="0" borderId="0" xfId="7" applyFont="1" applyFill="1" applyBorder="1" applyAlignment="1">
      <alignment horizontal="left" vertical="top" wrapText="1" shrinkToFit="1"/>
    </xf>
    <xf numFmtId="0" fontId="103" fillId="25" borderId="0" xfId="7" applyFont="1" applyFill="1" applyBorder="1" applyAlignment="1">
      <alignment horizontal="left" vertical="top" wrapText="1" shrinkToFit="1"/>
    </xf>
    <xf numFmtId="0" fontId="101" fillId="0" borderId="0" xfId="7" applyFont="1" applyFill="1" applyBorder="1" applyAlignment="1">
      <alignment horizontal="center" vertical="top" wrapText="1" shrinkToFit="1"/>
    </xf>
    <xf numFmtId="0" fontId="100" fillId="0" borderId="0" xfId="7" applyFont="1" applyFill="1" applyBorder="1" applyAlignment="1">
      <alignment horizontal="center" vertical="top" wrapText="1" shrinkToFit="1"/>
    </xf>
    <xf numFmtId="0" fontId="99" fillId="25" borderId="66" xfId="7" applyFont="1" applyFill="1" applyBorder="1" applyAlignment="1">
      <alignment horizontal="left" vertical="top" wrapText="1" shrinkToFit="1"/>
    </xf>
    <xf numFmtId="49" fontId="98" fillId="24" borderId="0" xfId="7" applyNumberFormat="1" applyFont="1" applyFill="1" applyBorder="1" applyAlignment="1">
      <alignment horizontal="left" vertical="center" wrapText="1" shrinkToFit="1"/>
    </xf>
    <xf numFmtId="0" fontId="102" fillId="0" borderId="0" xfId="7" applyFont="1" applyFill="1" applyBorder="1" applyAlignment="1">
      <alignment horizontal="right" vertical="top" wrapText="1" shrinkToFit="1"/>
    </xf>
    <xf numFmtId="0" fontId="99" fillId="25" borderId="63" xfId="7" applyFont="1" applyFill="1" applyBorder="1" applyAlignment="1">
      <alignment horizontal="center" vertical="center" wrapText="1" shrinkToFit="1"/>
    </xf>
    <xf numFmtId="0" fontId="105" fillId="0" borderId="0" xfId="7" applyFont="1" applyFill="1" applyBorder="1" applyAlignment="1">
      <alignment horizontal="center" vertical="center" wrapText="1" shrinkToFit="1"/>
    </xf>
    <xf numFmtId="49" fontId="98" fillId="0" borderId="0" xfId="7" applyNumberFormat="1" applyFont="1" applyFill="1" applyBorder="1" applyAlignment="1">
      <alignment horizontal="left" vertical="center" wrapText="1" shrinkToFit="1"/>
    </xf>
    <xf numFmtId="0" fontId="99" fillId="25" borderId="65" xfId="7" applyFont="1" applyFill="1" applyBorder="1" applyAlignment="1">
      <alignment horizontal="center" vertical="center" wrapText="1" shrinkToFit="1"/>
    </xf>
    <xf numFmtId="49" fontId="96" fillId="0" borderId="0" xfId="7" applyNumberFormat="1" applyFont="1" applyFill="1" applyBorder="1" applyAlignment="1">
      <alignment horizontal="left" vertical="center" wrapText="1" shrinkToFit="1"/>
    </xf>
    <xf numFmtId="49" fontId="96" fillId="24" borderId="0" xfId="7" applyNumberFormat="1" applyFont="1" applyFill="1" applyBorder="1" applyAlignment="1">
      <alignment horizontal="left" vertical="center" wrapText="1" shrinkToFit="1"/>
    </xf>
    <xf numFmtId="49" fontId="96" fillId="0" borderId="0" xfId="7" applyNumberFormat="1" applyFont="1" applyFill="1" applyBorder="1" applyAlignment="1">
      <alignment horizontal="center" vertical="top" wrapText="1" shrinkToFit="1"/>
    </xf>
    <xf numFmtId="49" fontId="96" fillId="0" borderId="0" xfId="7" applyNumberFormat="1" applyFont="1" applyFill="1" applyBorder="1" applyAlignment="1">
      <alignment horizontal="right" vertical="top" wrapText="1" shrinkToFit="1"/>
    </xf>
    <xf numFmtId="0" fontId="12" fillId="12" borderId="0" xfId="0" applyFont="1" applyFill="1" applyBorder="1" applyAlignment="1">
      <alignment horizontal="left"/>
    </xf>
    <xf numFmtId="0" fontId="31" fillId="11" borderId="7" xfId="0" applyFont="1" applyFill="1" applyBorder="1" applyAlignment="1">
      <alignment horizontal="center" vertical="center" textRotation="90"/>
    </xf>
    <xf numFmtId="41" fontId="31" fillId="11" borderId="7" xfId="0" applyNumberFormat="1" applyFont="1" applyFill="1" applyBorder="1" applyAlignment="1">
      <alignment horizontal="center" vertical="center" wrapText="1"/>
    </xf>
    <xf numFmtId="0" fontId="40" fillId="3" borderId="7" xfId="0" applyFont="1" applyFill="1" applyBorder="1" applyAlignment="1">
      <alignment horizontal="left" vertical="center"/>
    </xf>
    <xf numFmtId="41" fontId="12" fillId="3" borderId="7" xfId="0" applyNumberFormat="1" applyFont="1" applyFill="1" applyBorder="1" applyAlignment="1">
      <alignment horizontal="left" vertical="center" wrapText="1"/>
    </xf>
    <xf numFmtId="41" fontId="31" fillId="11" borderId="7" xfId="0" applyNumberFormat="1" applyFont="1" applyFill="1" applyBorder="1" applyAlignment="1">
      <alignment horizontal="left" vertical="center" wrapText="1"/>
    </xf>
    <xf numFmtId="0" fontId="12" fillId="3" borderId="0" xfId="0" applyFont="1" applyFill="1" applyBorder="1" applyAlignment="1">
      <alignment horizontal="center" vertical="center" wrapText="1"/>
    </xf>
    <xf numFmtId="0" fontId="31" fillId="11" borderId="7" xfId="0" applyFont="1" applyFill="1" applyBorder="1" applyAlignment="1" applyProtection="1">
      <alignment horizontal="left" vertical="center"/>
      <protection locked="0"/>
    </xf>
    <xf numFmtId="0" fontId="31" fillId="11" borderId="7" xfId="0" applyFont="1" applyFill="1" applyBorder="1" applyAlignment="1">
      <alignment horizontal="left" vertical="center" wrapText="1"/>
    </xf>
    <xf numFmtId="0" fontId="12" fillId="14" borderId="7" xfId="0" applyFont="1" applyFill="1" applyBorder="1" applyAlignment="1">
      <alignment horizontal="center" vertical="center" wrapText="1"/>
    </xf>
    <xf numFmtId="0" fontId="31" fillId="11" borderId="29" xfId="0" applyFont="1" applyFill="1" applyBorder="1" applyAlignment="1">
      <alignment horizontal="left" vertical="center"/>
    </xf>
    <xf numFmtId="0" fontId="31" fillId="11" borderId="30" xfId="0" applyFont="1" applyFill="1" applyBorder="1" applyAlignment="1">
      <alignment horizontal="left" vertical="center"/>
    </xf>
    <xf numFmtId="0" fontId="31" fillId="11" borderId="31" xfId="0" applyFont="1" applyFill="1" applyBorder="1" applyAlignment="1">
      <alignment horizontal="left" vertical="center"/>
    </xf>
    <xf numFmtId="0" fontId="15" fillId="8" borderId="20" xfId="0" applyFont="1" applyFill="1" applyBorder="1" applyAlignment="1">
      <alignment horizontal="left"/>
    </xf>
    <xf numFmtId="0" fontId="15" fillId="8" borderId="21" xfId="0" applyFont="1" applyFill="1" applyBorder="1" applyAlignment="1">
      <alignment horizontal="left"/>
    </xf>
    <xf numFmtId="0" fontId="15" fillId="8" borderId="22" xfId="0" applyFont="1" applyFill="1" applyBorder="1" applyAlignment="1">
      <alignment horizontal="left"/>
    </xf>
    <xf numFmtId="0" fontId="5" fillId="3" borderId="0" xfId="0" applyFont="1" applyFill="1" applyBorder="1" applyAlignment="1">
      <alignment horizontal="center" vertical="center" wrapText="1" readingOrder="1"/>
    </xf>
    <xf numFmtId="0" fontId="107" fillId="13" borderId="0" xfId="0" applyFont="1" applyFill="1" applyAlignment="1">
      <alignment horizontal="left"/>
    </xf>
    <xf numFmtId="0" fontId="0" fillId="3" borderId="7" xfId="0" applyFill="1" applyBorder="1" applyAlignment="1">
      <alignment horizontal="left"/>
    </xf>
    <xf numFmtId="0" fontId="39" fillId="12" borderId="2" xfId="0" applyFont="1" applyFill="1" applyBorder="1" applyAlignment="1">
      <alignment horizontal="left" vertical="center" wrapText="1"/>
    </xf>
    <xf numFmtId="165" fontId="30" fillId="11" borderId="7" xfId="0" applyNumberFormat="1" applyFont="1" applyFill="1" applyBorder="1" applyAlignment="1">
      <alignment horizontal="center" vertical="center" wrapText="1"/>
    </xf>
    <xf numFmtId="0" fontId="30" fillId="11" borderId="7" xfId="0" applyFont="1" applyFill="1" applyBorder="1" applyAlignment="1">
      <alignment horizontal="center" vertical="center" wrapText="1"/>
    </xf>
    <xf numFmtId="41" fontId="30" fillId="11" borderId="7" xfId="0" applyNumberFormat="1" applyFont="1" applyFill="1" applyBorder="1" applyAlignment="1">
      <alignment horizontal="center" vertical="center" wrapText="1"/>
    </xf>
    <xf numFmtId="41" fontId="30" fillId="11" borderId="19" xfId="0" applyNumberFormat="1" applyFont="1" applyFill="1" applyBorder="1" applyAlignment="1">
      <alignment horizontal="center" vertical="center" wrapText="1"/>
    </xf>
    <xf numFmtId="41" fontId="30" fillId="11" borderId="15" xfId="0" applyNumberFormat="1" applyFont="1" applyFill="1" applyBorder="1" applyAlignment="1">
      <alignment horizontal="center" vertical="center" wrapText="1"/>
    </xf>
    <xf numFmtId="41" fontId="30" fillId="11" borderId="9"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59" fillId="17" borderId="19" xfId="0" applyFont="1" applyFill="1" applyBorder="1" applyAlignment="1">
      <alignment horizontal="center" vertical="center" wrapText="1"/>
    </xf>
    <xf numFmtId="0" fontId="59" fillId="17" borderId="15" xfId="0" applyFont="1" applyFill="1" applyBorder="1" applyAlignment="1">
      <alignment horizontal="center" vertical="center" wrapText="1"/>
    </xf>
    <xf numFmtId="0" fontId="59" fillId="17" borderId="9" xfId="0" applyFont="1" applyFill="1" applyBorder="1" applyAlignment="1">
      <alignment horizontal="center" vertical="center" wrapText="1"/>
    </xf>
    <xf numFmtId="0" fontId="107" fillId="13" borderId="7" xfId="0" applyFont="1" applyFill="1" applyBorder="1" applyAlignment="1">
      <alignment horizontal="left"/>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60" fillId="19" borderId="32" xfId="0" applyFont="1" applyFill="1" applyBorder="1" applyAlignment="1">
      <alignment horizontal="left" vertical="top" wrapText="1"/>
    </xf>
    <xf numFmtId="0" fontId="60" fillId="19" borderId="0" xfId="0" applyFont="1" applyFill="1" applyBorder="1" applyAlignment="1">
      <alignment horizontal="left" vertical="top" wrapText="1"/>
    </xf>
    <xf numFmtId="0" fontId="59" fillId="17" borderId="7" xfId="0" applyFont="1" applyFill="1" applyBorder="1" applyAlignment="1">
      <alignment horizontal="center" vertical="center"/>
    </xf>
    <xf numFmtId="0" fontId="5" fillId="3" borderId="7" xfId="0" applyFont="1" applyFill="1" applyBorder="1" applyAlignment="1">
      <alignment horizontal="center" vertical="center" wrapText="1"/>
    </xf>
    <xf numFmtId="0" fontId="59" fillId="17" borderId="7" xfId="0" applyFont="1" applyFill="1" applyBorder="1" applyAlignment="1">
      <alignment horizontal="center" vertical="center" wrapText="1"/>
    </xf>
    <xf numFmtId="0" fontId="30" fillId="11" borderId="7" xfId="0" applyFont="1" applyFill="1" applyBorder="1" applyAlignment="1" applyProtection="1">
      <alignment horizontal="left" vertical="center"/>
      <protection locked="0"/>
    </xf>
    <xf numFmtId="0" fontId="9" fillId="0" borderId="0" xfId="0" applyFont="1" applyAlignment="1">
      <alignment horizontal="center"/>
    </xf>
    <xf numFmtId="0" fontId="41" fillId="11" borderId="7" xfId="0" applyFont="1" applyFill="1" applyBorder="1" applyAlignment="1">
      <alignment horizontal="center" vertical="center" wrapText="1"/>
    </xf>
    <xf numFmtId="0" fontId="41" fillId="11" borderId="7" xfId="0" applyFont="1" applyFill="1" applyBorder="1" applyAlignment="1">
      <alignment horizontal="center" vertical="center"/>
    </xf>
    <xf numFmtId="164" fontId="41" fillId="11" borderId="7" xfId="5" applyFont="1" applyFill="1" applyBorder="1" applyAlignment="1">
      <alignment horizontal="center" vertical="center" wrapText="1"/>
    </xf>
    <xf numFmtId="0" fontId="9" fillId="0" borderId="0" xfId="0" applyFont="1" applyBorder="1" applyAlignment="1">
      <alignment horizontal="center"/>
    </xf>
    <xf numFmtId="0" fontId="31" fillId="11" borderId="7" xfId="0" applyFont="1" applyFill="1" applyBorder="1" applyAlignment="1">
      <alignment horizontal="center" vertical="center" wrapText="1"/>
    </xf>
    <xf numFmtId="0" fontId="31" fillId="11" borderId="24" xfId="0" applyFont="1" applyFill="1" applyBorder="1" applyAlignment="1">
      <alignment horizontal="left" vertical="center"/>
    </xf>
    <xf numFmtId="0" fontId="31" fillId="11" borderId="25" xfId="0" applyFont="1" applyFill="1" applyBorder="1" applyAlignment="1">
      <alignment horizontal="left" vertical="center"/>
    </xf>
    <xf numFmtId="0" fontId="31" fillId="11" borderId="15" xfId="0" applyFont="1" applyFill="1" applyBorder="1" applyAlignment="1">
      <alignment horizontal="left" vertical="center"/>
    </xf>
    <xf numFmtId="0" fontId="31" fillId="11" borderId="9" xfId="0" applyFont="1" applyFill="1" applyBorder="1" applyAlignment="1">
      <alignment horizontal="left" vertical="center"/>
    </xf>
    <xf numFmtId="0" fontId="24" fillId="7" borderId="7" xfId="0" applyFont="1" applyFill="1" applyBorder="1" applyAlignment="1">
      <alignment horizontal="right" wrapText="1"/>
    </xf>
    <xf numFmtId="166" fontId="24" fillId="7" borderId="7" xfId="5" applyNumberFormat="1" applyFont="1" applyFill="1" applyBorder="1" applyAlignment="1">
      <alignment horizontal="center" vertical="center" wrapText="1"/>
    </xf>
    <xf numFmtId="0" fontId="0" fillId="3" borderId="0" xfId="0" applyFill="1" applyAlignment="1">
      <alignment horizontal="center" wrapText="1"/>
    </xf>
    <xf numFmtId="0" fontId="4" fillId="2" borderId="3"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protection locked="0"/>
    </xf>
    <xf numFmtId="0" fontId="0" fillId="3" borderId="3" xfId="0" applyFont="1" applyFill="1" applyBorder="1" applyAlignment="1" applyProtection="1">
      <alignment vertical="center" wrapText="1"/>
      <protection locked="0"/>
    </xf>
    <xf numFmtId="0" fontId="0" fillId="3" borderId="4" xfId="0" applyFont="1" applyFill="1" applyBorder="1" applyAlignment="1" applyProtection="1">
      <alignment vertical="center" wrapText="1"/>
      <protection locked="0"/>
    </xf>
    <xf numFmtId="0" fontId="0" fillId="3" borderId="5" xfId="0" applyFont="1" applyFill="1" applyBorder="1" applyAlignment="1" applyProtection="1">
      <alignment vertical="center" wrapText="1"/>
      <protection locked="0"/>
    </xf>
    <xf numFmtId="0" fontId="0" fillId="0" borderId="2" xfId="0" applyBorder="1" applyAlignment="1">
      <alignment horizontal="center" vertical="center"/>
    </xf>
    <xf numFmtId="0" fontId="0" fillId="0" borderId="0" xfId="0" applyBorder="1" applyAlignment="1">
      <alignment horizontal="center" vertical="center"/>
    </xf>
    <xf numFmtId="167" fontId="3" fillId="3" borderId="1" xfId="2" applyNumberFormat="1" applyFont="1" applyFill="1" applyBorder="1" applyAlignment="1">
      <alignment horizontal="left" vertical="center"/>
    </xf>
    <xf numFmtId="0" fontId="0" fillId="3" borderId="3" xfId="0" applyFill="1" applyBorder="1" applyAlignment="1" applyProtection="1">
      <alignment vertical="top"/>
      <protection locked="0"/>
    </xf>
    <xf numFmtId="0" fontId="0" fillId="3" borderId="4" xfId="0" applyFill="1" applyBorder="1" applyAlignment="1" applyProtection="1">
      <alignment vertical="top"/>
      <protection locked="0"/>
    </xf>
    <xf numFmtId="0" fontId="0" fillId="3" borderId="5" xfId="0" applyFill="1" applyBorder="1" applyAlignment="1" applyProtection="1">
      <alignment vertical="top"/>
      <protection locked="0"/>
    </xf>
    <xf numFmtId="0" fontId="11" fillId="12" borderId="0" xfId="0" applyFont="1" applyFill="1" applyAlignment="1">
      <alignment horizontal="left"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4" borderId="3"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4" fillId="3" borderId="5" xfId="0" applyFont="1" applyFill="1" applyBorder="1" applyAlignment="1">
      <alignment vertical="center" wrapText="1"/>
    </xf>
    <xf numFmtId="0" fontId="0" fillId="0" borderId="0" xfId="0" applyAlignment="1">
      <alignment horizontal="center" vertical="center"/>
    </xf>
    <xf numFmtId="0" fontId="0" fillId="3" borderId="3" xfId="0" applyFont="1" applyFill="1" applyBorder="1" applyAlignment="1" applyProtection="1">
      <alignment vertical="center"/>
      <protection locked="0"/>
    </xf>
    <xf numFmtId="0" fontId="0" fillId="3" borderId="4" xfId="0" applyFont="1" applyFill="1" applyBorder="1" applyAlignment="1" applyProtection="1">
      <alignment vertical="center"/>
      <protection locked="0"/>
    </xf>
    <xf numFmtId="0" fontId="0" fillId="3" borderId="5" xfId="0" applyFont="1" applyFill="1" applyBorder="1" applyAlignment="1" applyProtection="1">
      <alignment vertical="center"/>
      <protection locked="0"/>
    </xf>
    <xf numFmtId="0" fontId="35" fillId="11" borderId="7" xfId="0" applyFont="1" applyFill="1" applyBorder="1" applyAlignment="1" applyProtection="1">
      <alignment horizontal="left" vertical="center"/>
      <protection locked="0"/>
    </xf>
    <xf numFmtId="0" fontId="33" fillId="11" borderId="7" xfId="0" applyFont="1" applyFill="1" applyBorder="1" applyAlignment="1" applyProtection="1">
      <alignment horizontal="left" vertical="center" wrapText="1"/>
      <protection locked="0"/>
    </xf>
    <xf numFmtId="0" fontId="10" fillId="2" borderId="7" xfId="0" applyFont="1" applyFill="1" applyBorder="1" applyAlignment="1" applyProtection="1">
      <alignment horizontal="left" wrapText="1"/>
      <protection locked="0"/>
    </xf>
    <xf numFmtId="0" fontId="10" fillId="2" borderId="7" xfId="0" applyFont="1" applyFill="1" applyBorder="1" applyAlignment="1">
      <alignment horizontal="left" wrapText="1"/>
    </xf>
    <xf numFmtId="0" fontId="32" fillId="3" borderId="15" xfId="0" applyFont="1" applyFill="1" applyBorder="1" applyAlignment="1">
      <alignment horizontal="left" vertical="center" wrapText="1"/>
    </xf>
    <xf numFmtId="0" fontId="33" fillId="11" borderId="7" xfId="0" applyFont="1" applyFill="1" applyBorder="1" applyAlignment="1">
      <alignment horizontal="center" vertical="center" wrapText="1"/>
    </xf>
    <xf numFmtId="0" fontId="33" fillId="11" borderId="19" xfId="0" applyFont="1" applyFill="1" applyBorder="1" applyAlignment="1">
      <alignment horizontal="center" vertical="center" wrapText="1"/>
    </xf>
    <xf numFmtId="0" fontId="33" fillId="11" borderId="9" xfId="0" applyFont="1" applyFill="1" applyBorder="1" applyAlignment="1">
      <alignment horizontal="center" vertical="center" wrapText="1"/>
    </xf>
    <xf numFmtId="0" fontId="33" fillId="11" borderId="15" xfId="0" applyFont="1" applyFill="1" applyBorder="1" applyAlignment="1">
      <alignment horizontal="center" vertical="center" wrapText="1"/>
    </xf>
    <xf numFmtId="166" fontId="33" fillId="11" borderId="7" xfId="0" applyNumberFormat="1" applyFont="1" applyFill="1" applyBorder="1" applyAlignment="1">
      <alignment horizontal="center" vertical="center" wrapText="1"/>
    </xf>
    <xf numFmtId="166" fontId="33" fillId="11" borderId="8" xfId="0" applyNumberFormat="1" applyFont="1" applyFill="1" applyBorder="1" applyAlignment="1">
      <alignment horizontal="center" vertical="center" wrapText="1"/>
    </xf>
    <xf numFmtId="166" fontId="33" fillId="11" borderId="6" xfId="0" applyNumberFormat="1" applyFont="1" applyFill="1" applyBorder="1" applyAlignment="1">
      <alignment horizontal="center" vertical="center" wrapText="1"/>
    </xf>
    <xf numFmtId="166" fontId="33" fillId="11" borderId="10" xfId="0" applyNumberFormat="1" applyFont="1" applyFill="1" applyBorder="1" applyAlignment="1">
      <alignment horizontal="center" vertical="center" wrapText="1"/>
    </xf>
    <xf numFmtId="0" fontId="33" fillId="11" borderId="8" xfId="0" applyFont="1" applyFill="1" applyBorder="1" applyAlignment="1">
      <alignment horizontal="center" vertical="center" wrapText="1"/>
    </xf>
    <xf numFmtId="0" fontId="33" fillId="11" borderId="10" xfId="0" applyFont="1" applyFill="1" applyBorder="1" applyAlignment="1">
      <alignment horizontal="center" vertical="center" wrapText="1"/>
    </xf>
    <xf numFmtId="0" fontId="10" fillId="3" borderId="8" xfId="0" applyFont="1" applyFill="1" applyBorder="1" applyAlignment="1" applyProtection="1">
      <alignment horizontal="center" vertical="center" wrapText="1"/>
      <protection locked="0"/>
    </xf>
    <xf numFmtId="0" fontId="10" fillId="3" borderId="6" xfId="0" applyFont="1" applyFill="1" applyBorder="1" applyAlignment="1" applyProtection="1">
      <alignment horizontal="center" vertical="center" wrapText="1"/>
      <protection locked="0"/>
    </xf>
    <xf numFmtId="0" fontId="10" fillId="3" borderId="10" xfId="0" applyFont="1" applyFill="1" applyBorder="1" applyAlignment="1" applyProtection="1">
      <alignment horizontal="center" vertical="center" wrapText="1"/>
      <protection locked="0"/>
    </xf>
    <xf numFmtId="0" fontId="10" fillId="3" borderId="1" xfId="0" applyFont="1" applyFill="1" applyBorder="1" applyAlignment="1">
      <alignment horizontal="left" wrapText="1"/>
    </xf>
    <xf numFmtId="0" fontId="57" fillId="0" borderId="0" xfId="0" applyFont="1" applyBorder="1" applyAlignment="1">
      <alignment horizontal="center"/>
    </xf>
    <xf numFmtId="0" fontId="33" fillId="11" borderId="19" xfId="0" applyFont="1" applyFill="1" applyBorder="1" applyAlignment="1">
      <alignment horizontal="left" vertical="center" wrapText="1"/>
    </xf>
    <xf numFmtId="0" fontId="33" fillId="11" borderId="15" xfId="0" applyFont="1" applyFill="1" applyBorder="1" applyAlignment="1">
      <alignment horizontal="left" vertical="center" wrapText="1"/>
    </xf>
    <xf numFmtId="0" fontId="33" fillId="11" borderId="9" xfId="0" applyFont="1" applyFill="1" applyBorder="1" applyAlignment="1">
      <alignment horizontal="left" vertical="center" wrapText="1"/>
    </xf>
    <xf numFmtId="0" fontId="10" fillId="3" borderId="19" xfId="0" applyFont="1" applyFill="1" applyBorder="1" applyAlignment="1" applyProtection="1">
      <alignment horizontal="left" wrapText="1"/>
      <protection locked="0"/>
    </xf>
    <xf numFmtId="0" fontId="10" fillId="3" borderId="15" xfId="0" applyFont="1" applyFill="1" applyBorder="1" applyAlignment="1" applyProtection="1">
      <alignment horizontal="left" wrapText="1"/>
      <protection locked="0"/>
    </xf>
    <xf numFmtId="0" fontId="10" fillId="3" borderId="9" xfId="0" applyFont="1" applyFill="1" applyBorder="1" applyAlignment="1" applyProtection="1">
      <alignment horizontal="left" wrapText="1"/>
      <protection locked="0"/>
    </xf>
    <xf numFmtId="0" fontId="32" fillId="4" borderId="14" xfId="0" applyFont="1" applyFill="1" applyBorder="1" applyAlignment="1">
      <alignment horizontal="center" wrapText="1"/>
    </xf>
    <xf numFmtId="0" fontId="35" fillId="11" borderId="19" xfId="0" applyFont="1" applyFill="1" applyBorder="1" applyAlignment="1">
      <alignment horizontal="right" wrapText="1"/>
    </xf>
    <xf numFmtId="0" fontId="35" fillId="11" borderId="15" xfId="0" applyFont="1" applyFill="1" applyBorder="1" applyAlignment="1">
      <alignment horizontal="right" wrapText="1"/>
    </xf>
    <xf numFmtId="0" fontId="35" fillId="11" borderId="9" xfId="0" applyFont="1" applyFill="1" applyBorder="1" applyAlignment="1">
      <alignment horizontal="right" wrapText="1"/>
    </xf>
    <xf numFmtId="171" fontId="10" fillId="3" borderId="8" xfId="5" applyNumberFormat="1" applyFont="1" applyFill="1" applyBorder="1" applyAlignment="1" applyProtection="1">
      <alignment horizontal="center" vertical="center" wrapText="1"/>
      <protection locked="0"/>
    </xf>
    <xf numFmtId="171" fontId="10" fillId="3" borderId="6" xfId="5" applyNumberFormat="1" applyFont="1" applyFill="1" applyBorder="1" applyAlignment="1" applyProtection="1">
      <alignment horizontal="center" vertical="center" wrapText="1"/>
      <protection locked="0"/>
    </xf>
    <xf numFmtId="171" fontId="10" fillId="3" borderId="10" xfId="5" applyNumberFormat="1" applyFont="1" applyFill="1" applyBorder="1" applyAlignment="1" applyProtection="1">
      <alignment horizontal="center" vertical="center" wrapText="1"/>
      <protection locked="0"/>
    </xf>
    <xf numFmtId="171" fontId="10" fillId="4" borderId="8" xfId="5" applyNumberFormat="1" applyFont="1" applyFill="1" applyBorder="1" applyAlignment="1" applyProtection="1">
      <alignment horizontal="center" vertical="center" wrapText="1"/>
      <protection locked="0"/>
    </xf>
    <xf numFmtId="171" fontId="10" fillId="4" borderId="6" xfId="5" applyNumberFormat="1" applyFont="1" applyFill="1" applyBorder="1" applyAlignment="1" applyProtection="1">
      <alignment horizontal="center" vertical="center" wrapText="1"/>
      <protection locked="0"/>
    </xf>
    <xf numFmtId="171" fontId="10" fillId="4" borderId="10" xfId="5" applyNumberFormat="1" applyFont="1" applyFill="1" applyBorder="1" applyAlignment="1" applyProtection="1">
      <alignment horizontal="center" vertical="center" wrapText="1"/>
      <protection locked="0"/>
    </xf>
    <xf numFmtId="171" fontId="61" fillId="3" borderId="8" xfId="5" applyNumberFormat="1" applyFont="1" applyFill="1" applyBorder="1" applyAlignment="1" applyProtection="1">
      <alignment horizontal="center" vertical="center" wrapText="1"/>
      <protection locked="0"/>
    </xf>
    <xf numFmtId="171" fontId="61" fillId="3" borderId="6" xfId="5" applyNumberFormat="1" applyFont="1" applyFill="1" applyBorder="1" applyAlignment="1" applyProtection="1">
      <alignment horizontal="center" vertical="center" wrapText="1"/>
      <protection locked="0"/>
    </xf>
    <xf numFmtId="171" fontId="61" fillId="3" borderId="10" xfId="5" applyNumberFormat="1" applyFont="1" applyFill="1" applyBorder="1" applyAlignment="1" applyProtection="1">
      <alignment horizontal="center" vertical="center" wrapText="1"/>
      <protection locked="0"/>
    </xf>
    <xf numFmtId="0" fontId="93" fillId="0" borderId="8" xfId="0" applyFont="1" applyBorder="1" applyAlignment="1">
      <alignment horizontal="center" vertical="center"/>
    </xf>
    <xf numFmtId="0" fontId="93" fillId="0" borderId="10" xfId="0" applyFont="1" applyBorder="1" applyAlignment="1">
      <alignment horizontal="center" vertical="center"/>
    </xf>
  </cellXfs>
  <cellStyles count="10">
    <cellStyle name="Bom" xfId="1" builtinId="26"/>
    <cellStyle name="Moeda" xfId="2" builtinId="4"/>
    <cellStyle name="Moeda 2" xfId="9"/>
    <cellStyle name="Neutra" xfId="3" builtinId="28"/>
    <cellStyle name="Normal" xfId="0" builtinId="0"/>
    <cellStyle name="Normal 2" xfId="6"/>
    <cellStyle name="Normal 3" xfId="7"/>
    <cellStyle name="Porcentagem" xfId="4" builtinId="5"/>
    <cellStyle name="Vírgula" xfId="5" builtinId="3"/>
    <cellStyle name="Vírgula 2" xfId="8"/>
  </cellStyles>
  <dxfs count="6">
    <dxf>
      <font>
        <color rgb="FFFF0000"/>
      </font>
    </dxf>
    <dxf>
      <font>
        <color rgb="FFFF0000"/>
      </font>
    </dxf>
    <dxf>
      <font>
        <color rgb="FFFF0000"/>
      </font>
    </dxf>
    <dxf>
      <font>
        <color rgb="FF006600"/>
      </font>
      <fill>
        <patternFill>
          <bgColor rgb="FF006600"/>
        </patternFill>
      </fill>
    </dxf>
    <dxf>
      <fill>
        <patternFill>
          <bgColor theme="4" tint="0.59996337778862885"/>
        </patternFill>
      </fill>
    </dxf>
    <dxf>
      <fill>
        <patternFill>
          <bgColor theme="9" tint="0.59996337778862885"/>
        </patternFill>
      </fill>
    </dxf>
  </dxfs>
  <tableStyles count="0" defaultTableStyle="TableStyleMedium2" defaultPivotStyle="PivotStyleLight16"/>
  <colors>
    <mruColors>
      <color rgb="FF008080"/>
      <color rgb="FFB2EDEC"/>
      <color rgb="FF009999"/>
      <color rgb="FFF2F2F2"/>
      <color rgb="FFFFFFFF"/>
      <color rgb="FFF6FAF4"/>
      <color rgb="FFB9FFFF"/>
      <color rgb="FFD7E9E0"/>
      <color rgb="FFECFCFC"/>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0</xdr:rowOff>
    </xdr:from>
    <xdr:to>
      <xdr:col>11</xdr:col>
      <xdr:colOff>47625</xdr:colOff>
      <xdr:row>2</xdr:row>
      <xdr:rowOff>523875</xdr:rowOff>
    </xdr:to>
    <xdr:pic>
      <xdr:nvPicPr>
        <xdr:cNvPr id="1025" name="Imagem 2" descr="CAU-BR-timbrado2015-edit-13">
          <a:extLst>
            <a:ext uri="{FF2B5EF4-FFF2-40B4-BE49-F238E27FC236}">
              <a16:creationId xmlns=""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67246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11</xdr:col>
          <xdr:colOff>0</xdr:colOff>
          <xdr:row>28</xdr:row>
          <xdr:rowOff>28575</xdr:rowOff>
        </xdr:to>
        <xdr:sp macro="" textlink="">
          <xdr:nvSpPr>
            <xdr:cNvPr id="2" name="Object 1" hidden="1">
              <a:extLst>
                <a:ext uri="{63B3BB69-23CF-44E3-9099-C40C66FF867C}">
                  <a14:compatExt spid="_x0000_s1025"/>
                </a:ext>
                <a:ext uri="{FF2B5EF4-FFF2-40B4-BE49-F238E27FC236}">
                  <a16:creationId xmlns="" xmlns:a16="http://schemas.microsoft.com/office/drawing/2014/main" id="{00000000-0008-0000-0000-000002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xdr:rowOff>
    </xdr:from>
    <xdr:to>
      <xdr:col>6</xdr:col>
      <xdr:colOff>11907</xdr:colOff>
      <xdr:row>3</xdr:row>
      <xdr:rowOff>44356</xdr:rowOff>
    </xdr:to>
    <xdr:pic>
      <xdr:nvPicPr>
        <xdr:cNvPr id="6145" name="Imagem 2" descr="CAU-BR-timbrado2015-edit-13">
          <a:extLst>
            <a:ext uri="{FF2B5EF4-FFF2-40B4-BE49-F238E27FC236}">
              <a16:creationId xmlns="" xmlns:a16="http://schemas.microsoft.com/office/drawing/2014/main" id="{00000000-0008-0000-0900-000001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0406062" cy="86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89297</xdr:colOff>
      <xdr:row>2</xdr:row>
      <xdr:rowOff>89297</xdr:rowOff>
    </xdr:from>
    <xdr:to>
      <xdr:col>12</xdr:col>
      <xdr:colOff>89297</xdr:colOff>
      <xdr:row>35</xdr:row>
      <xdr:rowOff>175419</xdr:rowOff>
    </xdr:to>
    <xdr:grpSp>
      <xdr:nvGrpSpPr>
        <xdr:cNvPr id="2" name="Grupo 3">
          <a:extLst>
            <a:ext uri="{FF2B5EF4-FFF2-40B4-BE49-F238E27FC236}">
              <a16:creationId xmlns="" xmlns:a16="http://schemas.microsoft.com/office/drawing/2014/main" id="{00000000-0008-0000-0A00-000002000000}"/>
            </a:ext>
          </a:extLst>
        </xdr:cNvPr>
        <xdr:cNvGrpSpPr>
          <a:grpSpLocks/>
        </xdr:cNvGrpSpPr>
      </xdr:nvGrpSpPr>
      <xdr:grpSpPr bwMode="auto">
        <a:xfrm>
          <a:off x="89297" y="482203"/>
          <a:ext cx="10810875" cy="6372622"/>
          <a:chOff x="0" y="1440"/>
          <a:chExt cx="12240" cy="12959"/>
        </a:xfrm>
      </xdr:grpSpPr>
      <xdr:grpSp>
        <xdr:nvGrpSpPr>
          <xdr:cNvPr id="3" name="Group 4">
            <a:extLst>
              <a:ext uri="{FF2B5EF4-FFF2-40B4-BE49-F238E27FC236}">
                <a16:creationId xmlns="" xmlns:a16="http://schemas.microsoft.com/office/drawing/2014/main" id="{00000000-0008-0000-0A00-000003000000}"/>
              </a:ext>
            </a:extLst>
          </xdr:cNvPr>
          <xdr:cNvGrpSpPr>
            <a:grpSpLocks/>
          </xdr:cNvGrpSpPr>
        </xdr:nvGrpSpPr>
        <xdr:grpSpPr bwMode="auto">
          <a:xfrm>
            <a:off x="0" y="9661"/>
            <a:ext cx="12240" cy="4738"/>
            <a:chOff x="-6" y="3399"/>
            <a:chExt cx="12197" cy="4253"/>
          </a:xfrm>
        </xdr:grpSpPr>
        <xdr:grpSp>
          <xdr:nvGrpSpPr>
            <xdr:cNvPr id="7" name="Group 5">
              <a:extLst>
                <a:ext uri="{FF2B5EF4-FFF2-40B4-BE49-F238E27FC236}">
                  <a16:creationId xmlns="" xmlns:a16="http://schemas.microsoft.com/office/drawing/2014/main" id="{00000000-0008-0000-0A00-000007000000}"/>
                </a:ext>
              </a:extLst>
            </xdr:cNvPr>
            <xdr:cNvGrpSpPr>
              <a:grpSpLocks/>
            </xdr:cNvGrpSpPr>
          </xdr:nvGrpSpPr>
          <xdr:grpSpPr bwMode="auto">
            <a:xfrm>
              <a:off x="-6" y="3717"/>
              <a:ext cx="12189" cy="3550"/>
              <a:chOff x="18" y="7468"/>
              <a:chExt cx="12189" cy="3550"/>
            </a:xfrm>
          </xdr:grpSpPr>
          <xdr:sp macro="" textlink="">
            <xdr:nvSpPr>
              <xdr:cNvPr id="14" name="Freeform 6">
                <a:extLst>
                  <a:ext uri="{FF2B5EF4-FFF2-40B4-BE49-F238E27FC236}">
                    <a16:creationId xmlns="" xmlns:a16="http://schemas.microsoft.com/office/drawing/2014/main" id="{00000000-0008-0000-0A00-00000E000000}"/>
                  </a:ext>
                </a:extLst>
              </xdr:cNvPr>
              <xdr:cNvSpPr>
                <a:spLocks/>
              </xdr:cNvSpPr>
            </xdr:nvSpPr>
            <xdr:spPr bwMode="auto">
              <a:xfrm>
                <a:off x="18" y="7837"/>
                <a:ext cx="7132" cy="2863"/>
              </a:xfrm>
              <a:custGeom>
                <a:avLst/>
                <a:gdLst>
                  <a:gd name="T0" fmla="*/ 0 w 7132"/>
                  <a:gd name="T1" fmla="*/ 0 h 2863"/>
                  <a:gd name="T2" fmla="*/ 17 w 7132"/>
                  <a:gd name="T3" fmla="*/ 2863 h 2863"/>
                  <a:gd name="T4" fmla="*/ 7132 w 7132"/>
                  <a:gd name="T5" fmla="*/ 2578 h 2863"/>
                  <a:gd name="T6" fmla="*/ 7132 w 7132"/>
                  <a:gd name="T7" fmla="*/ 200 h 2863"/>
                  <a:gd name="T8" fmla="*/ 0 w 7132"/>
                  <a:gd name="T9" fmla="*/ 0 h 286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32" h="2863">
                    <a:moveTo>
                      <a:pt x="0" y="0"/>
                    </a:moveTo>
                    <a:lnTo>
                      <a:pt x="17" y="2863"/>
                    </a:lnTo>
                    <a:lnTo>
                      <a:pt x="7132" y="2578"/>
                    </a:lnTo>
                    <a:lnTo>
                      <a:pt x="7132" y="200"/>
                    </a:lnTo>
                    <a:lnTo>
                      <a:pt x="0" y="0"/>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7">
                <a:extLst>
                  <a:ext uri="{FF2B5EF4-FFF2-40B4-BE49-F238E27FC236}">
                    <a16:creationId xmlns="" xmlns:a16="http://schemas.microsoft.com/office/drawing/2014/main" id="{00000000-0008-0000-0A00-00000F000000}"/>
                  </a:ext>
                </a:extLst>
              </xdr:cNvPr>
              <xdr:cNvSpPr>
                <a:spLocks/>
              </xdr:cNvSpPr>
            </xdr:nvSpPr>
            <xdr:spPr bwMode="auto">
              <a:xfrm>
                <a:off x="7150" y="7468"/>
                <a:ext cx="3466" cy="3550"/>
              </a:xfrm>
              <a:custGeom>
                <a:avLst/>
                <a:gdLst>
                  <a:gd name="T0" fmla="*/ 0 w 3466"/>
                  <a:gd name="T1" fmla="*/ 569 h 3550"/>
                  <a:gd name="T2" fmla="*/ 0 w 3466"/>
                  <a:gd name="T3" fmla="*/ 2930 h 3550"/>
                  <a:gd name="T4" fmla="*/ 3466 w 3466"/>
                  <a:gd name="T5" fmla="*/ 3550 h 3550"/>
                  <a:gd name="T6" fmla="*/ 3466 w 3466"/>
                  <a:gd name="T7" fmla="*/ 0 h 3550"/>
                  <a:gd name="T8" fmla="*/ 0 w 3466"/>
                  <a:gd name="T9" fmla="*/ 569 h 355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466" h="3550">
                    <a:moveTo>
                      <a:pt x="0" y="569"/>
                    </a:moveTo>
                    <a:lnTo>
                      <a:pt x="0" y="2930"/>
                    </a:lnTo>
                    <a:lnTo>
                      <a:pt x="3466" y="3550"/>
                    </a:lnTo>
                    <a:lnTo>
                      <a:pt x="3466" y="0"/>
                    </a:lnTo>
                    <a:lnTo>
                      <a:pt x="0" y="569"/>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8">
                <a:extLst>
                  <a:ext uri="{FF2B5EF4-FFF2-40B4-BE49-F238E27FC236}">
                    <a16:creationId xmlns="" xmlns:a16="http://schemas.microsoft.com/office/drawing/2014/main" id="{00000000-0008-0000-0A00-000010000000}"/>
                  </a:ext>
                </a:extLst>
              </xdr:cNvPr>
              <xdr:cNvSpPr>
                <a:spLocks/>
              </xdr:cNvSpPr>
            </xdr:nvSpPr>
            <xdr:spPr bwMode="auto">
              <a:xfrm>
                <a:off x="10616" y="7468"/>
                <a:ext cx="1591" cy="3550"/>
              </a:xfrm>
              <a:custGeom>
                <a:avLst/>
                <a:gdLst>
                  <a:gd name="T0" fmla="*/ 0 w 1591"/>
                  <a:gd name="T1" fmla="*/ 0 h 3550"/>
                  <a:gd name="T2" fmla="*/ 0 w 1591"/>
                  <a:gd name="T3" fmla="*/ 3550 h 3550"/>
                  <a:gd name="T4" fmla="*/ 1591 w 1591"/>
                  <a:gd name="T5" fmla="*/ 2746 h 3550"/>
                  <a:gd name="T6" fmla="*/ 1591 w 1591"/>
                  <a:gd name="T7" fmla="*/ 737 h 3550"/>
                  <a:gd name="T8" fmla="*/ 0 w 1591"/>
                  <a:gd name="T9" fmla="*/ 0 h 355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591" h="3550">
                    <a:moveTo>
                      <a:pt x="0" y="0"/>
                    </a:moveTo>
                    <a:lnTo>
                      <a:pt x="0" y="3550"/>
                    </a:lnTo>
                    <a:lnTo>
                      <a:pt x="1591" y="2746"/>
                    </a:lnTo>
                    <a:lnTo>
                      <a:pt x="1591" y="737"/>
                    </a:lnTo>
                    <a:lnTo>
                      <a:pt x="0" y="0"/>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8" name="Freeform 9">
              <a:extLst>
                <a:ext uri="{FF2B5EF4-FFF2-40B4-BE49-F238E27FC236}">
                  <a16:creationId xmlns="" xmlns:a16="http://schemas.microsoft.com/office/drawing/2014/main" id="{00000000-0008-0000-0A00-000008000000}"/>
                </a:ext>
              </a:extLst>
            </xdr:cNvPr>
            <xdr:cNvSpPr>
              <a:spLocks/>
            </xdr:cNvSpPr>
          </xdr:nvSpPr>
          <xdr:spPr bwMode="auto">
            <a:xfrm>
              <a:off x="8071" y="4069"/>
              <a:ext cx="4120" cy="2913"/>
            </a:xfrm>
            <a:custGeom>
              <a:avLst/>
              <a:gdLst>
                <a:gd name="T0" fmla="*/ 1 w 4120"/>
                <a:gd name="T1" fmla="*/ 251 h 2913"/>
                <a:gd name="T2" fmla="*/ 0 w 4120"/>
                <a:gd name="T3" fmla="*/ 2662 h 2913"/>
                <a:gd name="T4" fmla="*/ 4120 w 4120"/>
                <a:gd name="T5" fmla="*/ 2913 h 2913"/>
                <a:gd name="T6" fmla="*/ 4120 w 4120"/>
                <a:gd name="T7" fmla="*/ 0 h 2913"/>
                <a:gd name="T8" fmla="*/ 1 w 4120"/>
                <a:gd name="T9" fmla="*/ 251 h 291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0" h="2913">
                  <a:moveTo>
                    <a:pt x="1" y="251"/>
                  </a:moveTo>
                  <a:lnTo>
                    <a:pt x="0" y="2662"/>
                  </a:lnTo>
                  <a:lnTo>
                    <a:pt x="4120" y="2913"/>
                  </a:lnTo>
                  <a:lnTo>
                    <a:pt x="4120" y="0"/>
                  </a:lnTo>
                  <a:lnTo>
                    <a:pt x="1" y="251"/>
                  </a:lnTo>
                  <a:close/>
                </a:path>
              </a:pathLst>
            </a:custGeom>
            <a:solidFill>
              <a:srgbClr val="D8D8D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10">
              <a:extLst>
                <a:ext uri="{FF2B5EF4-FFF2-40B4-BE49-F238E27FC236}">
                  <a16:creationId xmlns="" xmlns:a16="http://schemas.microsoft.com/office/drawing/2014/main" id="{00000000-0008-0000-0A00-000009000000}"/>
                </a:ext>
              </a:extLst>
            </xdr:cNvPr>
            <xdr:cNvSpPr>
              <a:spLocks/>
            </xdr:cNvSpPr>
          </xdr:nvSpPr>
          <xdr:spPr bwMode="auto">
            <a:xfrm>
              <a:off x="4104" y="3399"/>
              <a:ext cx="3985" cy="4236"/>
            </a:xfrm>
            <a:custGeom>
              <a:avLst/>
              <a:gdLst>
                <a:gd name="T0" fmla="*/ 0 w 3985"/>
                <a:gd name="T1" fmla="*/ 0 h 4236"/>
                <a:gd name="T2" fmla="*/ 0 w 3985"/>
                <a:gd name="T3" fmla="*/ 4236 h 4236"/>
                <a:gd name="T4" fmla="*/ 3985 w 3985"/>
                <a:gd name="T5" fmla="*/ 3349 h 4236"/>
                <a:gd name="T6" fmla="*/ 3985 w 3985"/>
                <a:gd name="T7" fmla="*/ 921 h 4236"/>
                <a:gd name="T8" fmla="*/ 0 w 3985"/>
                <a:gd name="T9" fmla="*/ 0 h 423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985" h="4236">
                  <a:moveTo>
                    <a:pt x="0" y="0"/>
                  </a:moveTo>
                  <a:lnTo>
                    <a:pt x="0" y="4236"/>
                  </a:lnTo>
                  <a:lnTo>
                    <a:pt x="3985" y="3349"/>
                  </a:lnTo>
                  <a:lnTo>
                    <a:pt x="3985" y="921"/>
                  </a:lnTo>
                  <a:lnTo>
                    <a:pt x="0" y="0"/>
                  </a:lnTo>
                  <a:close/>
                </a:path>
              </a:pathLst>
            </a:custGeom>
            <a:solidFill>
              <a:srgbClr val="BFBFB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11">
              <a:extLst>
                <a:ext uri="{FF2B5EF4-FFF2-40B4-BE49-F238E27FC236}">
                  <a16:creationId xmlns="" xmlns:a16="http://schemas.microsoft.com/office/drawing/2014/main" id="{00000000-0008-0000-0A00-00000A000000}"/>
                </a:ext>
              </a:extLst>
            </xdr:cNvPr>
            <xdr:cNvSpPr>
              <a:spLocks/>
            </xdr:cNvSpPr>
          </xdr:nvSpPr>
          <xdr:spPr bwMode="auto">
            <a:xfrm>
              <a:off x="18" y="3399"/>
              <a:ext cx="4086" cy="4253"/>
            </a:xfrm>
            <a:custGeom>
              <a:avLst/>
              <a:gdLst>
                <a:gd name="T0" fmla="*/ 4086 w 4086"/>
                <a:gd name="T1" fmla="*/ 0 h 4253"/>
                <a:gd name="T2" fmla="*/ 4084 w 4086"/>
                <a:gd name="T3" fmla="*/ 4253 h 4253"/>
                <a:gd name="T4" fmla="*/ 0 w 4086"/>
                <a:gd name="T5" fmla="*/ 3198 h 4253"/>
                <a:gd name="T6" fmla="*/ 0 w 4086"/>
                <a:gd name="T7" fmla="*/ 1072 h 4253"/>
                <a:gd name="T8" fmla="*/ 4086 w 4086"/>
                <a:gd name="T9" fmla="*/ 0 h 425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086" h="4253">
                  <a:moveTo>
                    <a:pt x="4086" y="0"/>
                  </a:moveTo>
                  <a:lnTo>
                    <a:pt x="4084" y="4253"/>
                  </a:lnTo>
                  <a:lnTo>
                    <a:pt x="0" y="3198"/>
                  </a:lnTo>
                  <a:lnTo>
                    <a:pt x="0" y="1072"/>
                  </a:lnTo>
                  <a:lnTo>
                    <a:pt x="4086" y="0"/>
                  </a:lnTo>
                  <a:close/>
                </a:path>
              </a:pathLst>
            </a:custGeom>
            <a:solidFill>
              <a:srgbClr val="D8D8D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2">
              <a:extLst>
                <a:ext uri="{FF2B5EF4-FFF2-40B4-BE49-F238E27FC236}">
                  <a16:creationId xmlns="" xmlns:a16="http://schemas.microsoft.com/office/drawing/2014/main" id="{00000000-0008-0000-0A00-00000B000000}"/>
                </a:ext>
              </a:extLst>
            </xdr:cNvPr>
            <xdr:cNvSpPr>
              <a:spLocks/>
            </xdr:cNvSpPr>
          </xdr:nvSpPr>
          <xdr:spPr bwMode="auto">
            <a:xfrm>
              <a:off x="17" y="3617"/>
              <a:ext cx="2076" cy="3851"/>
            </a:xfrm>
            <a:custGeom>
              <a:avLst/>
              <a:gdLst>
                <a:gd name="T0" fmla="*/ 0 w 2076"/>
                <a:gd name="T1" fmla="*/ 921 h 3851"/>
                <a:gd name="T2" fmla="*/ 2060 w 2076"/>
                <a:gd name="T3" fmla="*/ 0 h 3851"/>
                <a:gd name="T4" fmla="*/ 2076 w 2076"/>
                <a:gd name="T5" fmla="*/ 3851 h 3851"/>
                <a:gd name="T6" fmla="*/ 0 w 2076"/>
                <a:gd name="T7" fmla="*/ 2981 h 3851"/>
                <a:gd name="T8" fmla="*/ 0 w 2076"/>
                <a:gd name="T9" fmla="*/ 921 h 385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76" h="3851">
                  <a:moveTo>
                    <a:pt x="0" y="921"/>
                  </a:moveTo>
                  <a:lnTo>
                    <a:pt x="2060" y="0"/>
                  </a:lnTo>
                  <a:lnTo>
                    <a:pt x="2076" y="3851"/>
                  </a:lnTo>
                  <a:lnTo>
                    <a:pt x="0" y="2981"/>
                  </a:lnTo>
                  <a:lnTo>
                    <a:pt x="0" y="921"/>
                  </a:lnTo>
                  <a:close/>
                </a:path>
              </a:pathLst>
            </a:custGeom>
            <a:solidFill>
              <a:srgbClr val="DDD8C2">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3">
              <a:extLst>
                <a:ext uri="{FF2B5EF4-FFF2-40B4-BE49-F238E27FC236}">
                  <a16:creationId xmlns="" xmlns:a16="http://schemas.microsoft.com/office/drawing/2014/main" id="{00000000-0008-0000-0A00-00000C000000}"/>
                </a:ext>
              </a:extLst>
            </xdr:cNvPr>
            <xdr:cNvSpPr>
              <a:spLocks/>
            </xdr:cNvSpPr>
          </xdr:nvSpPr>
          <xdr:spPr bwMode="auto">
            <a:xfrm>
              <a:off x="2077" y="3617"/>
              <a:ext cx="6011" cy="3835"/>
            </a:xfrm>
            <a:custGeom>
              <a:avLst/>
              <a:gdLst>
                <a:gd name="T0" fmla="*/ 0 w 6011"/>
                <a:gd name="T1" fmla="*/ 0 h 3835"/>
                <a:gd name="T2" fmla="*/ 17 w 6011"/>
                <a:gd name="T3" fmla="*/ 3835 h 3835"/>
                <a:gd name="T4" fmla="*/ 6011 w 6011"/>
                <a:gd name="T5" fmla="*/ 2629 h 3835"/>
                <a:gd name="T6" fmla="*/ 6011 w 6011"/>
                <a:gd name="T7" fmla="*/ 1239 h 3835"/>
                <a:gd name="T8" fmla="*/ 0 w 6011"/>
                <a:gd name="T9" fmla="*/ 0 h 383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6011" h="3835">
                  <a:moveTo>
                    <a:pt x="0" y="0"/>
                  </a:moveTo>
                  <a:lnTo>
                    <a:pt x="17" y="3835"/>
                  </a:lnTo>
                  <a:lnTo>
                    <a:pt x="6011" y="2629"/>
                  </a:lnTo>
                  <a:lnTo>
                    <a:pt x="6011" y="1239"/>
                  </a:lnTo>
                  <a:lnTo>
                    <a:pt x="0" y="0"/>
                  </a:lnTo>
                  <a:close/>
                </a:path>
              </a:pathLst>
            </a:custGeom>
            <a:solidFill>
              <a:srgbClr val="C4BC96">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4">
              <a:extLst>
                <a:ext uri="{FF2B5EF4-FFF2-40B4-BE49-F238E27FC236}">
                  <a16:creationId xmlns="" xmlns:a16="http://schemas.microsoft.com/office/drawing/2014/main" id="{00000000-0008-0000-0A00-00000D000000}"/>
                </a:ext>
              </a:extLst>
            </xdr:cNvPr>
            <xdr:cNvSpPr>
              <a:spLocks/>
            </xdr:cNvSpPr>
          </xdr:nvSpPr>
          <xdr:spPr bwMode="auto">
            <a:xfrm>
              <a:off x="8088" y="3835"/>
              <a:ext cx="4102" cy="3432"/>
            </a:xfrm>
            <a:custGeom>
              <a:avLst/>
              <a:gdLst>
                <a:gd name="T0" fmla="*/ 0 w 4102"/>
                <a:gd name="T1" fmla="*/ 1038 h 3432"/>
                <a:gd name="T2" fmla="*/ 0 w 4102"/>
                <a:gd name="T3" fmla="*/ 2411 h 3432"/>
                <a:gd name="T4" fmla="*/ 4102 w 4102"/>
                <a:gd name="T5" fmla="*/ 3432 h 3432"/>
                <a:gd name="T6" fmla="*/ 4102 w 4102"/>
                <a:gd name="T7" fmla="*/ 0 h 3432"/>
                <a:gd name="T8" fmla="*/ 0 w 4102"/>
                <a:gd name="T9" fmla="*/ 1038 h 34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02" h="3432">
                  <a:moveTo>
                    <a:pt x="0" y="1038"/>
                  </a:moveTo>
                  <a:lnTo>
                    <a:pt x="0" y="2411"/>
                  </a:lnTo>
                  <a:lnTo>
                    <a:pt x="4102" y="3432"/>
                  </a:lnTo>
                  <a:lnTo>
                    <a:pt x="4102" y="0"/>
                  </a:lnTo>
                  <a:lnTo>
                    <a:pt x="0" y="1038"/>
                  </a:lnTo>
                  <a:close/>
                </a:path>
              </a:pathLst>
            </a:custGeom>
            <a:solidFill>
              <a:srgbClr val="DDD8C2">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4" name="Rectangle 15">
            <a:extLst>
              <a:ext uri="{FF2B5EF4-FFF2-40B4-BE49-F238E27FC236}">
                <a16:creationId xmlns="" xmlns:a16="http://schemas.microsoft.com/office/drawing/2014/main" id="{00000000-0008-0000-0A00-000004000000}"/>
              </a:ext>
            </a:extLst>
          </xdr:cNvPr>
          <xdr:cNvSpPr>
            <a:spLocks noChangeArrowheads="1"/>
          </xdr:cNvSpPr>
        </xdr:nvSpPr>
        <xdr:spPr bwMode="auto">
          <a:xfrm>
            <a:off x="1800" y="1440"/>
            <a:ext cx="385" cy="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pt-BR" sz="1600" b="1" i="0" u="none" strike="noStrike" baseline="0">
                <a:solidFill>
                  <a:srgbClr val="000000"/>
                </a:solidFill>
                <a:latin typeface="Cambria"/>
              </a:rPr>
              <a:t> </a:t>
            </a:r>
            <a:endParaRPr lang="pt-BR" sz="1200" b="0" i="0" u="none" strike="noStrike" baseline="0">
              <a:solidFill>
                <a:srgbClr val="000000"/>
              </a:solidFill>
              <a:latin typeface="Cambria"/>
            </a:endParaRPr>
          </a:p>
          <a:p>
            <a:pPr algn="l" rtl="0">
              <a:defRPr sz="1000"/>
            </a:pPr>
            <a:r>
              <a:rPr lang="pt-BR" sz="1600" b="1" i="0" u="none" strike="noStrike" baseline="0">
                <a:solidFill>
                  <a:srgbClr val="000000"/>
                </a:solidFill>
                <a:latin typeface="Cambria"/>
              </a:rPr>
              <a:t> </a:t>
            </a:r>
          </a:p>
        </xdr:txBody>
      </xdr:sp>
      <xdr:sp macro="" textlink="">
        <xdr:nvSpPr>
          <xdr:cNvPr id="5" name="Rectangle 16">
            <a:extLst>
              <a:ext uri="{FF2B5EF4-FFF2-40B4-BE49-F238E27FC236}">
                <a16:creationId xmlns="" xmlns:a16="http://schemas.microsoft.com/office/drawing/2014/main" id="{00000000-0008-0000-0A00-000005000000}"/>
              </a:ext>
            </a:extLst>
          </xdr:cNvPr>
          <xdr:cNvSpPr>
            <a:spLocks noChangeArrowheads="1"/>
          </xdr:cNvSpPr>
        </xdr:nvSpPr>
        <xdr:spPr bwMode="auto">
          <a:xfrm>
            <a:off x="10625" y="11432"/>
            <a:ext cx="1372" cy="1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pt-BR" sz="3600" b="0" i="0" u="none" strike="noStrike" baseline="0">
                <a:solidFill>
                  <a:srgbClr val="215868"/>
                </a:solidFill>
                <a:latin typeface="Arial"/>
                <a:cs typeface="Arial"/>
              </a:rPr>
              <a:t>2019</a:t>
            </a:r>
          </a:p>
        </xdr:txBody>
      </xdr:sp>
      <xdr:sp macro="" textlink="">
        <xdr:nvSpPr>
          <xdr:cNvPr id="6" name="Rectangle 17">
            <a:extLst>
              <a:ext uri="{FF2B5EF4-FFF2-40B4-BE49-F238E27FC236}">
                <a16:creationId xmlns="" xmlns:a16="http://schemas.microsoft.com/office/drawing/2014/main" id="{00000000-0008-0000-0A00-000006000000}"/>
              </a:ext>
            </a:extLst>
          </xdr:cNvPr>
          <xdr:cNvSpPr>
            <a:spLocks noChangeArrowheads="1"/>
          </xdr:cNvSpPr>
        </xdr:nvSpPr>
        <xdr:spPr bwMode="auto">
          <a:xfrm>
            <a:off x="1062" y="2724"/>
            <a:ext cx="9376" cy="599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pt-BR" sz="2600" b="1" i="0" u="none" strike="noStrike" baseline="0">
                <a:solidFill>
                  <a:srgbClr val="000000"/>
                </a:solidFill>
                <a:latin typeface="Arial"/>
                <a:cs typeface="Arial"/>
              </a:rPr>
              <a:t> </a:t>
            </a:r>
            <a:endParaRPr lang="pt-BR" sz="1200" b="0" i="0" u="none" strike="noStrike" baseline="0">
              <a:solidFill>
                <a:srgbClr val="000000"/>
              </a:solidFill>
              <a:latin typeface="Cambri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PLANO DE AÇÃO 2019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CAU/.....</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 </a:t>
            </a:r>
            <a:endParaRPr kumimoji="0" lang="pt-BR" sz="1600" b="0" i="0" u="none" strike="noStrike" kern="0" cap="none" spc="0" normalizeH="0" baseline="0" noProof="0">
              <a:ln>
                <a:noFill/>
              </a:ln>
              <a:solidFill>
                <a:srgbClr val="000000"/>
              </a:solidFill>
              <a:effectLst/>
              <a:uLnTx/>
              <a:uFillTx/>
              <a:latin typeface="Cambria"/>
              <a:ea typeface="+mn-ea"/>
              <a:cs typeface="Arial"/>
            </a:endParaRPr>
          </a:p>
          <a:p>
            <a:pPr algn="l" rtl="0">
              <a:defRPr sz="1000"/>
            </a:pPr>
            <a:r>
              <a:rPr lang="pt-BR" sz="1600" b="1" i="0" u="none" strike="noStrike" baseline="0">
                <a:solidFill>
                  <a:srgbClr val="215868"/>
                </a:solidFill>
                <a:latin typeface="Arial"/>
                <a:cs typeface="Arial"/>
              </a:rPr>
              <a:t> </a:t>
            </a:r>
            <a:endParaRPr lang="pt-BR" sz="1600" b="0" i="0" u="none" strike="noStrike" baseline="0">
              <a:solidFill>
                <a:srgbClr val="000000"/>
              </a:solidFill>
              <a:latin typeface="Cambria"/>
              <a:cs typeface="Arial"/>
            </a:endParaRPr>
          </a:p>
          <a:p>
            <a:pPr algn="l" rtl="0">
              <a:defRPr sz="1000"/>
            </a:pPr>
            <a:r>
              <a:rPr kumimoji="0" lang="pt-BR" sz="1600" b="1" i="0" u="none" strike="noStrike" kern="0" cap="none" spc="0" normalizeH="0" baseline="0" noProof="0">
                <a:ln>
                  <a:noFill/>
                </a:ln>
                <a:solidFill>
                  <a:srgbClr val="215868"/>
                </a:solidFill>
                <a:effectLst/>
                <a:uLnTx/>
                <a:uFillTx/>
                <a:latin typeface="Arial"/>
                <a:ea typeface="+mn-ea"/>
                <a:cs typeface="Arial"/>
              </a:rPr>
              <a:t>DETALHAMENTO POR PROJETO/ATIVIDADE DAS PRINCIPAIS AÇÕES, METAS E RESULTADOS</a:t>
            </a:r>
            <a:r>
              <a:rPr lang="pt-BR" sz="1600" b="1" i="0" u="none" strike="noStrike" baseline="0">
                <a:solidFill>
                  <a:srgbClr val="215868"/>
                </a:solidFill>
                <a:latin typeface="Arial"/>
                <a:cs typeface="Arial"/>
              </a:rPr>
              <a:t> </a:t>
            </a:r>
          </a:p>
          <a:p>
            <a:pPr algn="l" rtl="0">
              <a:defRPr sz="1000"/>
            </a:pPr>
            <a:r>
              <a:rPr lang="pt-BR" sz="1600" b="1" i="0" u="none" strike="noStrike" baseline="0">
                <a:solidFill>
                  <a:srgbClr val="215868"/>
                </a:solidFill>
                <a:latin typeface="Arial"/>
                <a:cs typeface="Arial"/>
              </a:rPr>
              <a:t>Todos os projetos e atividades previstos devem ter os respectivos detalhamentos no anexo 1.4.</a:t>
            </a:r>
          </a:p>
        </xdr:txBody>
      </xdr:sp>
    </xdr:grpSp>
    <xdr:clientData/>
  </xdr:twoCellAnchor>
  <xdr:twoCellAnchor>
    <xdr:from>
      <xdr:col>0</xdr:col>
      <xdr:colOff>66675</xdr:colOff>
      <xdr:row>0</xdr:row>
      <xdr:rowOff>19050</xdr:rowOff>
    </xdr:from>
    <xdr:to>
      <xdr:col>10</xdr:col>
      <xdr:colOff>50828</xdr:colOff>
      <xdr:row>3</xdr:row>
      <xdr:rowOff>135499</xdr:rowOff>
    </xdr:to>
    <xdr:pic>
      <xdr:nvPicPr>
        <xdr:cNvPr id="17" name="Imagem 16" descr="CAU-BR-timbrado2015-edit-13">
          <a:extLst>
            <a:ext uri="{FF2B5EF4-FFF2-40B4-BE49-F238E27FC236}">
              <a16:creationId xmlns=""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
          <a:ext cx="9223403" cy="697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39744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640774</xdr:colOff>
      <xdr:row>4</xdr:row>
      <xdr:rowOff>133350</xdr:rowOff>
    </xdr:to>
    <xdr:pic>
      <xdr:nvPicPr>
        <xdr:cNvPr id="2049" name="Imagem 2" descr="CAU-BR-timbrado2015-edit-13">
          <a:extLst>
            <a:ext uri="{FF2B5EF4-FFF2-40B4-BE49-F238E27FC236}">
              <a16:creationId xmlns=""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777933" cy="883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1368984</xdr:colOff>
      <xdr:row>0</xdr:row>
      <xdr:rowOff>2228850</xdr:rowOff>
    </xdr:to>
    <xdr:pic>
      <xdr:nvPicPr>
        <xdr:cNvPr id="3" name="Imagem 2" descr="CAU-BR-timbrado2015-edit-1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675534"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111125</xdr:colOff>
      <xdr:row>0</xdr:row>
      <xdr:rowOff>0</xdr:rowOff>
    </xdr:from>
    <xdr:to>
      <xdr:col>11</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984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146538</xdr:colOff>
      <xdr:row>0</xdr:row>
      <xdr:rowOff>0</xdr:rowOff>
    </xdr:from>
    <xdr:to>
      <xdr:col>3</xdr:col>
      <xdr:colOff>98983</xdr:colOff>
      <xdr:row>0</xdr:row>
      <xdr:rowOff>800100</xdr:rowOff>
    </xdr:to>
    <xdr:pic>
      <xdr:nvPicPr>
        <xdr:cNvPr id="2" name="Imagem 1" descr="CAU-BR-timbrado2015-edit-13">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6538" y="0"/>
          <a:ext cx="16315907"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xdr:rowOff>
    </xdr:from>
    <xdr:to>
      <xdr:col>6</xdr:col>
      <xdr:colOff>1387928</xdr:colOff>
      <xdr:row>1</xdr:row>
      <xdr:rowOff>1079500</xdr:rowOff>
    </xdr:to>
    <xdr:pic>
      <xdr:nvPicPr>
        <xdr:cNvPr id="4119" name="Imagem 2" descr="CAU-BR-timbrado2015-edit-13">
          <a:extLst>
            <a:ext uri="{FF2B5EF4-FFF2-40B4-BE49-F238E27FC236}">
              <a16:creationId xmlns="" xmlns:a16="http://schemas.microsoft.com/office/drawing/2014/main" id="{00000000-0008-0000-0400-000017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1182803" cy="1269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7</xdr:row>
      <xdr:rowOff>0</xdr:rowOff>
    </xdr:from>
    <xdr:ext cx="10325100" cy="66675"/>
    <xdr:pic>
      <xdr:nvPicPr>
        <xdr:cNvPr id="2" name="Picture 1">
          <a:extLst>
            <a:ext uri="{FF2B5EF4-FFF2-40B4-BE49-F238E27FC236}">
              <a16:creationId xmlns=""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0" y="1333500"/>
          <a:ext cx="10325100" cy="66675"/>
        </a:xfrm>
        <a:prstGeom prst="rect">
          <a:avLst/>
        </a:prstGeom>
      </xdr:spPr>
    </xdr:pic>
    <xdr:clientData/>
  </xdr:oneCellAnchor>
  <xdr:oneCellAnchor>
    <xdr:from>
      <xdr:col>12</xdr:col>
      <xdr:colOff>0</xdr:colOff>
      <xdr:row>0</xdr:row>
      <xdr:rowOff>0</xdr:rowOff>
    </xdr:from>
    <xdr:ext cx="1666875" cy="1066800"/>
    <xdr:pic>
      <xdr:nvPicPr>
        <xdr:cNvPr id="3" name="Picture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2"/>
        <a:srcRect/>
        <a:stretch>
          <a:fillRect/>
        </a:stretch>
      </xdr:blipFill>
      <xdr:spPr>
        <a:xfrm>
          <a:off x="7315200" y="0"/>
          <a:ext cx="1666875" cy="10668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36634</xdr:colOff>
      <xdr:row>0</xdr:row>
      <xdr:rowOff>12211</xdr:rowOff>
    </xdr:from>
    <xdr:to>
      <xdr:col>9</xdr:col>
      <xdr:colOff>1367692</xdr:colOff>
      <xdr:row>2</xdr:row>
      <xdr:rowOff>12212</xdr:rowOff>
    </xdr:to>
    <xdr:pic>
      <xdr:nvPicPr>
        <xdr:cNvPr id="3" name="Imagem 2" descr="CAU-BR-timbrado2015-edit-13">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34" y="12211"/>
          <a:ext cx="10880481" cy="915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0</xdr:rowOff>
    </xdr:from>
    <xdr:to>
      <xdr:col>7</xdr:col>
      <xdr:colOff>581025</xdr:colOff>
      <xdr:row>2</xdr:row>
      <xdr:rowOff>314325</xdr:rowOff>
    </xdr:to>
    <xdr:pic>
      <xdr:nvPicPr>
        <xdr:cNvPr id="5125" name="Imagem 2" descr="CAU-BR-timbrado2015-edit-13">
          <a:extLst>
            <a:ext uri="{FF2B5EF4-FFF2-40B4-BE49-F238E27FC236}">
              <a16:creationId xmlns="" xmlns:a16="http://schemas.microsoft.com/office/drawing/2014/main" id="{00000000-0008-0000-0700-000005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0"/>
          <a:ext cx="104203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0</xdr:rowOff>
    </xdr:from>
    <xdr:to>
      <xdr:col>9</xdr:col>
      <xdr:colOff>142875</xdr:colOff>
      <xdr:row>3</xdr:row>
      <xdr:rowOff>178594</xdr:rowOff>
    </xdr:to>
    <xdr:pic>
      <xdr:nvPicPr>
        <xdr:cNvPr id="3" name="Imagem 2" descr="CAU-BR-timbrado2015-edit-13">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8989219"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SSESSORIA%20DE%20PLANEJAMENTO%20E%20GESTAO%20DA%20ESTRATEGIA\2019\Programa&#231;&#227;o%202019\Pareceres\PARECER_CAU_F\PARECER%20CAU-BA_Programa&#231;&#227;o%202019_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lfe.vinhas/AppData/Local/Microsoft/Windows/INetCache/Content.Outlook/3GIFMYUX/Planilha%20de%20Or&#231;amento%20da%20Folha%20Despesas%20e%20Arrecada&#231;&#227;o%202019%20Alt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do Parecer"/>
      <sheetName val="Análise Geral "/>
      <sheetName val="Mapa Situacional I"/>
      <sheetName val="Mapa Situacional II"/>
      <sheetName val="Matriz Objetivos x Projetos"/>
      <sheetName val="Indicadores e Metas"/>
      <sheetName val="FORM.1"/>
      <sheetName val="FORM.2"/>
      <sheetName val="FORM.3"/>
      <sheetName val="FORM.4"/>
      <sheetName val="FORM.5"/>
      <sheetName val="FORM.6"/>
      <sheetName val="Anexo_1.4_Dados"/>
      <sheetName val="Parecer"/>
      <sheetName val="2018"/>
      <sheetName val="Mapa Estratégico"/>
      <sheetName val="Anexo 1.4-Presidência"/>
      <sheetName val="Anexo 1.4-Direção Geral"/>
      <sheetName val="Anexo 1.4-GETEC"/>
      <sheetName val="Anexo 1.4- GEOP"/>
      <sheetName val="Anexo 1.4-Gerencia Financeira"/>
      <sheetName val="Anexo 1.4-ASSEJUR"/>
      <sheetName val="Anexo 1.4-Com. Ética"/>
      <sheetName val="Anexo 1.4- Com. Atos"/>
      <sheetName val="Anexo 1.4-Com. Exercicio Prof"/>
      <sheetName val="Anexo 1.4-Com. Finanças"/>
      <sheetName val="Anexo 1.4- Com. Ensino"/>
      <sheetName val="Anexo 1.4-Plenária"/>
      <sheetName val="Anexo 1.4-Revista"/>
      <sheetName val="Anexo 1.4-Dia do Arquiteto"/>
      <sheetName val="Anexo 1.4- Patrocínio"/>
      <sheetName val="Anexo 1.4- APC"/>
      <sheetName val="Anexo 1.4- Fundo de Apoio"/>
      <sheetName val="Anexo 1.4- CSC SISCAF"/>
      <sheetName val="Anexo 1.4- Comun. Institucional"/>
      <sheetName val="Anexo 1.4- Fundo de Reserva"/>
      <sheetName val="Anexo 1.4- Capac. Colaboradores"/>
      <sheetName val="Anexo 1.4- Ass. Técnica"/>
      <sheetName val="Anexo 1.4-GEAT"/>
      <sheetName val="Anexo 1.4- Reforma Sede"/>
      <sheetName val="Anexo 1.4-Aquisição Equipamento"/>
      <sheetName val="Anexo 1.4-CSC Fiscalização"/>
      <sheetName val="Anexo 1.4- CSC Atendimento"/>
      <sheetName val="Anexo 1.4- GEFIS"/>
      <sheetName val="Anexo 1.4-Projeto ASSEJUR"/>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A7" t="str">
            <v>Presidência</v>
          </cell>
          <cell r="B7" t="str">
            <v>A</v>
          </cell>
          <cell r="D7" t="str">
            <v>Articulação Institucional e fomento de parcerias estratégicas.</v>
          </cell>
        </row>
        <row r="8">
          <cell r="A8" t="str">
            <v>Direção Geral</v>
          </cell>
          <cell r="D8" t="str">
            <v>Manutenção Institucional</v>
          </cell>
        </row>
        <row r="9">
          <cell r="A9" t="str">
            <v>Gerência Técnica</v>
          </cell>
          <cell r="D9" t="str">
            <v>Orientação, esclarecimento e atendimento de demandas de profissionais e empresas</v>
          </cell>
        </row>
        <row r="10">
          <cell r="A10" t="str">
            <v>Gerência de Operações</v>
          </cell>
          <cell r="D10" t="str">
            <v>Operacionalização dos processos éticos e de multa/fiscalização</v>
          </cell>
        </row>
        <row r="11">
          <cell r="A11" t="str">
            <v>Gerência Adm. Financeira</v>
          </cell>
          <cell r="D11" t="str">
            <v>Manutenção Administrativa financeira</v>
          </cell>
        </row>
        <row r="12">
          <cell r="A12" t="str">
            <v>Assessoria Jurídica</v>
          </cell>
          <cell r="D12" t="str">
            <v>Consultoria e Assessoria Jurídica</v>
          </cell>
        </row>
        <row r="13">
          <cell r="A13" t="str">
            <v>Comissão de Ética</v>
          </cell>
          <cell r="D13" t="str">
            <v>Operacionalização e processamento dos  processos éticos</v>
          </cell>
        </row>
        <row r="14">
          <cell r="A14" t="str">
            <v>Comissão de Atos Administrativos</v>
          </cell>
          <cell r="D14" t="str">
            <v>Assessoramento organizacional-institucional</v>
          </cell>
        </row>
        <row r="15">
          <cell r="A15" t="str">
            <v>Comissão de Exercício Profissional e Fiscalização</v>
          </cell>
          <cell r="D15" t="str">
            <v>Operacionalização da Fiscalização e fomento da valorização profissional</v>
          </cell>
        </row>
        <row r="16">
          <cell r="A16" t="str">
            <v>Comissão de Planejamento e Finanças</v>
          </cell>
          <cell r="D16" t="str">
            <v>Operacionalização, Planejamento e Controle do CAU</v>
          </cell>
        </row>
        <row r="17">
          <cell r="A17" t="str">
            <v>Comissão de Ensino</v>
          </cell>
          <cell r="D17" t="str">
            <v>Fomento ao aperfeiçoamento e à formação profissional</v>
          </cell>
        </row>
        <row r="18">
          <cell r="A18" t="str">
            <v>Plenária</v>
          </cell>
          <cell r="D18" t="str">
            <v>Operacionalização das reuniões institucionais regimentais</v>
          </cell>
        </row>
        <row r="19">
          <cell r="A19" t="str">
            <v>Presidência</v>
          </cell>
          <cell r="D19" t="str">
            <v>Dia do Arquiteto</v>
          </cell>
        </row>
        <row r="20">
          <cell r="A20" t="str">
            <v>Direção Geral</v>
          </cell>
          <cell r="D20" t="str">
            <v>APC - Aperfeiçoamento Profissional Continuado</v>
          </cell>
        </row>
        <row r="21">
          <cell r="A21" t="str">
            <v>Presidência</v>
          </cell>
          <cell r="D21" t="str">
            <v>Patrocínio</v>
          </cell>
        </row>
        <row r="22">
          <cell r="A22" t="str">
            <v>Gerência Adm. Financeira</v>
          </cell>
          <cell r="D22" t="str">
            <v>Aporte ao Fundo de Apoio</v>
          </cell>
        </row>
        <row r="23">
          <cell r="A23" t="str">
            <v>Direção Geral</v>
          </cell>
          <cell r="D23" t="str">
            <v>Comunicação Institucional</v>
          </cell>
        </row>
        <row r="24">
          <cell r="A24" t="str">
            <v>Direção Geral</v>
          </cell>
          <cell r="D24" t="str">
            <v>Programa de Capacitação dos Colaboradores</v>
          </cell>
        </row>
        <row r="25">
          <cell r="A25" t="str">
            <v>Comissão de Assistência Técnica</v>
          </cell>
          <cell r="D25" t="str">
            <v>Programa de Assistência Técnica</v>
          </cell>
        </row>
        <row r="26">
          <cell r="A26" t="str">
            <v>Gerência de Atendimento</v>
          </cell>
          <cell r="D26" t="str">
            <v>Atendimento da Sociedade e arquitetos e urbanistas</v>
          </cell>
        </row>
        <row r="27">
          <cell r="A27" t="str">
            <v>Presidência</v>
          </cell>
          <cell r="D27" t="str">
            <v>Reforma sede CAU/BA</v>
          </cell>
        </row>
        <row r="28">
          <cell r="A28" t="str">
            <v>Gerência Adm. Financeira</v>
          </cell>
          <cell r="D28" t="str">
            <v>Aquisição de Equipamentos</v>
          </cell>
        </row>
        <row r="29">
          <cell r="A29" t="str">
            <v>Gerência Adm. Financeira</v>
          </cell>
          <cell r="D29" t="str">
            <v>CSC -Fiscalização</v>
          </cell>
        </row>
        <row r="30">
          <cell r="A30" t="str">
            <v>Gerência Adm. Financeira</v>
          </cell>
          <cell r="D30" t="str">
            <v>CSC- Atendimento</v>
          </cell>
        </row>
        <row r="31">
          <cell r="A31" t="str">
            <v>Gerência de Fiscalização</v>
          </cell>
          <cell r="D31" t="str">
            <v>Plano de Fiscalização</v>
          </cell>
        </row>
        <row r="32">
          <cell r="A32" t="str">
            <v>Presidência</v>
          </cell>
          <cell r="D32" t="str">
            <v>Aquisição sede CAU/BA</v>
          </cell>
        </row>
        <row r="33">
          <cell r="A33" t="str">
            <v>Presidência</v>
          </cell>
          <cell r="D33" t="str">
            <v>CAU/BA Mais Perto</v>
          </cell>
        </row>
        <row r="34">
          <cell r="A34" t="str">
            <v>Presidência</v>
          </cell>
        </row>
      </sheetData>
      <sheetData sheetId="8">
        <row r="6">
          <cell r="E6">
            <v>2979540</v>
          </cell>
        </row>
        <row r="7">
          <cell r="E7">
            <v>0</v>
          </cell>
        </row>
        <row r="8">
          <cell r="E8">
            <v>2979540</v>
          </cell>
        </row>
        <row r="9">
          <cell r="E9">
            <v>62980</v>
          </cell>
        </row>
        <row r="10">
          <cell r="E10">
            <v>2916560</v>
          </cell>
        </row>
        <row r="11">
          <cell r="E11">
            <v>0</v>
          </cell>
        </row>
        <row r="12">
          <cell r="E12" t="str">
            <v>Programação 2019</v>
          </cell>
        </row>
        <row r="13">
          <cell r="E13">
            <v>705019.99</v>
          </cell>
        </row>
        <row r="14">
          <cell r="E14">
            <v>0.2417299798392627</v>
          </cell>
        </row>
        <row r="15">
          <cell r="E15">
            <v>660086.31000000006</v>
          </cell>
        </row>
        <row r="16">
          <cell r="E16">
            <v>0.22632358326247362</v>
          </cell>
        </row>
        <row r="17">
          <cell r="E17">
            <v>331518.28000000003</v>
          </cell>
        </row>
        <row r="18">
          <cell r="E18">
            <v>0.11366756727103164</v>
          </cell>
        </row>
        <row r="19">
          <cell r="E19">
            <v>50000</v>
          </cell>
        </row>
        <row r="20">
          <cell r="E20">
            <v>1.7143484104561537E-2</v>
          </cell>
        </row>
        <row r="21">
          <cell r="E21">
            <v>484081.27</v>
          </cell>
        </row>
        <row r="22">
          <cell r="E22">
            <v>0.16597679115121924</v>
          </cell>
        </row>
        <row r="23">
          <cell r="E23">
            <v>60000</v>
          </cell>
        </row>
        <row r="24">
          <cell r="E24">
            <v>2.0572180925473846E-2</v>
          </cell>
        </row>
        <row r="26">
          <cell r="E26">
            <v>0</v>
          </cell>
        </row>
      </sheetData>
      <sheetData sheetId="9" refreshError="1"/>
      <sheetData sheetId="10">
        <row r="9">
          <cell r="C9">
            <v>3377426</v>
          </cell>
        </row>
        <row r="10">
          <cell r="C10">
            <v>3189540</v>
          </cell>
        </row>
        <row r="11">
          <cell r="C11">
            <v>1640904</v>
          </cell>
        </row>
        <row r="12">
          <cell r="C12">
            <v>1407854</v>
          </cell>
        </row>
        <row r="13">
          <cell r="C13">
            <v>1227854</v>
          </cell>
        </row>
        <row r="14">
          <cell r="C14">
            <v>180000</v>
          </cell>
        </row>
        <row r="15">
          <cell r="C15">
            <v>233050</v>
          </cell>
        </row>
        <row r="16">
          <cell r="C16">
            <v>203050</v>
          </cell>
        </row>
        <row r="17">
          <cell r="C17">
            <v>30000</v>
          </cell>
        </row>
        <row r="18">
          <cell r="C18">
            <v>1420330</v>
          </cell>
        </row>
        <row r="19">
          <cell r="C19">
            <v>128306</v>
          </cell>
        </row>
        <row r="20">
          <cell r="C20">
            <v>175000</v>
          </cell>
        </row>
        <row r="21">
          <cell r="C21">
            <v>12886</v>
          </cell>
        </row>
        <row r="22">
          <cell r="C22">
            <v>0</v>
          </cell>
        </row>
        <row r="23">
          <cell r="C23">
            <v>2260000</v>
          </cell>
        </row>
        <row r="24">
          <cell r="C24">
            <v>2260000</v>
          </cell>
        </row>
        <row r="25">
          <cell r="C25">
            <v>0</v>
          </cell>
        </row>
        <row r="26">
          <cell r="C26">
            <v>5637426</v>
          </cell>
        </row>
        <row r="27">
          <cell r="C27">
            <v>0</v>
          </cell>
        </row>
        <row r="28">
          <cell r="C28">
            <v>5363905</v>
          </cell>
        </row>
        <row r="29">
          <cell r="C29">
            <v>2765799</v>
          </cell>
        </row>
        <row r="30">
          <cell r="C30">
            <v>2598106.0000000005</v>
          </cell>
        </row>
        <row r="31">
          <cell r="C31">
            <v>62980</v>
          </cell>
        </row>
        <row r="32">
          <cell r="C32">
            <v>210541</v>
          </cell>
        </row>
        <row r="33">
          <cell r="C33">
            <v>0</v>
          </cell>
        </row>
        <row r="34">
          <cell r="C34">
            <v>5637426</v>
          </cell>
        </row>
        <row r="35">
          <cell r="C35">
            <v>0</v>
          </cell>
        </row>
        <row r="40">
          <cell r="C40">
            <v>3377426</v>
          </cell>
        </row>
        <row r="41">
          <cell r="C41">
            <v>2260000</v>
          </cell>
        </row>
        <row r="42">
          <cell r="C42">
            <v>5637426</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2019"/>
      <sheetName val="Resumo Orçamento Folha"/>
      <sheetName val="RESUMO DESPESAS FIXAS"/>
      <sheetName val="RESUMO DAS DESPESAS "/>
      <sheetName val="RECEITAS"/>
    </sheetNames>
    <sheetDataSet>
      <sheetData sheetId="0" refreshError="1"/>
      <sheetData sheetId="1">
        <row r="6">
          <cell r="F6">
            <v>272909.03494825668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Slide_do_Microsoft_PowerPoint1.sld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
  <dimension ref="A3:R31"/>
  <sheetViews>
    <sheetView showGridLines="0" topLeftCell="A4" zoomScaleNormal="100" zoomScaleSheetLayoutView="90" workbookViewId="0">
      <selection activeCell="A30" sqref="A30:P31"/>
    </sheetView>
  </sheetViews>
  <sheetFormatPr defaultRowHeight="15" x14ac:dyDescent="0.25"/>
  <sheetData>
    <row r="3" spans="1:11" ht="44.25" customHeight="1" x14ac:dyDescent="0.25"/>
    <row r="4" spans="1:11" ht="21" x14ac:dyDescent="0.25">
      <c r="A4" s="375" t="s">
        <v>367</v>
      </c>
      <c r="B4" s="376"/>
      <c r="C4" s="376"/>
      <c r="D4" s="376"/>
      <c r="E4" s="376"/>
      <c r="F4" s="376"/>
      <c r="G4" s="376"/>
      <c r="H4" s="376"/>
      <c r="I4" s="376"/>
      <c r="J4" s="376"/>
      <c r="K4" s="376"/>
    </row>
    <row r="5" spans="1:11" ht="15.75" customHeight="1" x14ac:dyDescent="0.25">
      <c r="A5" s="377"/>
      <c r="B5" s="378"/>
      <c r="C5" s="378"/>
      <c r="D5" s="378"/>
      <c r="E5" s="378"/>
      <c r="F5" s="378"/>
      <c r="G5" s="378"/>
      <c r="H5" s="378"/>
      <c r="I5" s="378"/>
      <c r="J5" s="378"/>
      <c r="K5" s="378"/>
    </row>
    <row r="6" spans="1:11" ht="15.75" customHeight="1" x14ac:dyDescent="0.25">
      <c r="A6" s="377"/>
      <c r="B6" s="378"/>
      <c r="C6" s="378"/>
      <c r="D6" s="378"/>
      <c r="E6" s="378"/>
      <c r="F6" s="378"/>
      <c r="G6" s="378"/>
      <c r="H6" s="378"/>
      <c r="I6" s="378"/>
      <c r="J6" s="378"/>
      <c r="K6" s="378"/>
    </row>
    <row r="7" spans="1:11" ht="15.75" customHeight="1" x14ac:dyDescent="0.25">
      <c r="A7" s="377"/>
      <c r="B7" s="378"/>
      <c r="C7" s="378"/>
      <c r="D7" s="378"/>
      <c r="E7" s="378"/>
      <c r="F7" s="378"/>
      <c r="G7" s="378"/>
      <c r="H7" s="378"/>
      <c r="I7" s="378"/>
      <c r="J7" s="378"/>
      <c r="K7" s="378"/>
    </row>
    <row r="8" spans="1:11" ht="15.75" customHeight="1" x14ac:dyDescent="0.25">
      <c r="A8" s="377"/>
      <c r="B8" s="378"/>
      <c r="C8" s="378"/>
      <c r="D8" s="378"/>
      <c r="E8" s="378"/>
      <c r="F8" s="378"/>
      <c r="G8" s="378"/>
      <c r="H8" s="378"/>
      <c r="I8" s="378"/>
      <c r="J8" s="378"/>
      <c r="K8" s="378"/>
    </row>
    <row r="9" spans="1:11" ht="15.75" customHeight="1" x14ac:dyDescent="0.25">
      <c r="A9" s="377"/>
      <c r="B9" s="378"/>
      <c r="C9" s="378"/>
      <c r="D9" s="378"/>
      <c r="E9" s="378"/>
      <c r="F9" s="378"/>
      <c r="G9" s="378"/>
      <c r="H9" s="378"/>
      <c r="I9" s="378"/>
      <c r="J9" s="378"/>
      <c r="K9" s="378"/>
    </row>
    <row r="10" spans="1:11" ht="15.75" customHeight="1" x14ac:dyDescent="0.25">
      <c r="A10" s="377"/>
      <c r="B10" s="378"/>
      <c r="C10" s="378"/>
      <c r="D10" s="378"/>
      <c r="E10" s="378"/>
      <c r="F10" s="378"/>
      <c r="G10" s="378"/>
      <c r="H10" s="378"/>
      <c r="I10" s="378"/>
      <c r="J10" s="378"/>
      <c r="K10" s="378"/>
    </row>
    <row r="11" spans="1:11" ht="15.75" customHeight="1" x14ac:dyDescent="0.25">
      <c r="A11" s="377"/>
      <c r="B11" s="378"/>
      <c r="C11" s="378"/>
      <c r="D11" s="378"/>
      <c r="E11" s="378"/>
      <c r="F11" s="378"/>
      <c r="G11" s="378"/>
      <c r="H11" s="378"/>
      <c r="I11" s="378"/>
      <c r="J11" s="378"/>
      <c r="K11" s="378"/>
    </row>
    <row r="12" spans="1:11" ht="15.75" customHeight="1" x14ac:dyDescent="0.25">
      <c r="A12" s="377"/>
      <c r="B12" s="378"/>
      <c r="C12" s="378"/>
      <c r="D12" s="378"/>
      <c r="E12" s="378"/>
      <c r="F12" s="378"/>
      <c r="G12" s="378"/>
      <c r="H12" s="378"/>
      <c r="I12" s="378"/>
      <c r="J12" s="378"/>
      <c r="K12" s="378"/>
    </row>
    <row r="13" spans="1:11" ht="15.75" customHeight="1" x14ac:dyDescent="0.25">
      <c r="A13" s="377"/>
      <c r="B13" s="378"/>
      <c r="C13" s="378"/>
      <c r="D13" s="378"/>
      <c r="E13" s="378"/>
      <c r="F13" s="378"/>
      <c r="G13" s="378"/>
      <c r="H13" s="378"/>
      <c r="I13" s="378"/>
      <c r="J13" s="378"/>
      <c r="K13" s="378"/>
    </row>
    <row r="14" spans="1:11" ht="15.75" customHeight="1" x14ac:dyDescent="0.25">
      <c r="A14" s="377"/>
      <c r="B14" s="378"/>
      <c r="C14" s="378"/>
      <c r="D14" s="378"/>
      <c r="E14" s="378"/>
      <c r="F14" s="378"/>
      <c r="G14" s="378"/>
      <c r="H14" s="378"/>
      <c r="I14" s="378"/>
      <c r="J14" s="378"/>
      <c r="K14" s="378"/>
    </row>
    <row r="15" spans="1:11" ht="15.75" customHeight="1" x14ac:dyDescent="0.25">
      <c r="A15" s="377"/>
      <c r="B15" s="378"/>
      <c r="C15" s="378"/>
      <c r="D15" s="378"/>
      <c r="E15" s="378"/>
      <c r="F15" s="378"/>
      <c r="G15" s="378"/>
      <c r="H15" s="378"/>
      <c r="I15" s="378"/>
      <c r="J15" s="378"/>
      <c r="K15" s="378"/>
    </row>
    <row r="16" spans="1:11" ht="15" customHeight="1" x14ac:dyDescent="0.25">
      <c r="A16" s="377"/>
      <c r="B16" s="378"/>
      <c r="C16" s="378"/>
      <c r="D16" s="378"/>
      <c r="E16" s="378"/>
      <c r="F16" s="378"/>
      <c r="G16" s="378"/>
      <c r="H16" s="378"/>
      <c r="I16" s="378"/>
      <c r="J16" s="378"/>
      <c r="K16" s="378"/>
    </row>
    <row r="17" spans="1:18" ht="15.75" customHeight="1" x14ac:dyDescent="0.25">
      <c r="A17" s="377"/>
      <c r="B17" s="378"/>
      <c r="C17" s="378"/>
      <c r="D17" s="378"/>
      <c r="E17" s="378"/>
      <c r="F17" s="378"/>
      <c r="G17" s="378"/>
      <c r="H17" s="378"/>
      <c r="I17" s="378"/>
      <c r="J17" s="378"/>
      <c r="K17" s="378"/>
    </row>
    <row r="18" spans="1:18" ht="15.75" customHeight="1" x14ac:dyDescent="0.25">
      <c r="A18" s="377"/>
      <c r="B18" s="378"/>
      <c r="C18" s="378"/>
      <c r="D18" s="378"/>
      <c r="E18" s="378"/>
      <c r="F18" s="378"/>
      <c r="G18" s="378"/>
      <c r="H18" s="378"/>
      <c r="I18" s="378"/>
      <c r="J18" s="378"/>
      <c r="K18" s="378"/>
    </row>
    <row r="19" spans="1:18" ht="15.75" customHeight="1" x14ac:dyDescent="0.25">
      <c r="A19" s="377"/>
      <c r="B19" s="378"/>
      <c r="C19" s="378"/>
      <c r="D19" s="378"/>
      <c r="E19" s="378"/>
      <c r="F19" s="378"/>
      <c r="G19" s="378"/>
      <c r="H19" s="378"/>
      <c r="I19" s="378"/>
      <c r="J19" s="378"/>
      <c r="K19" s="378"/>
    </row>
    <row r="20" spans="1:18" ht="15.75" customHeight="1" x14ac:dyDescent="0.25">
      <c r="A20" s="377"/>
      <c r="B20" s="378"/>
      <c r="C20" s="378"/>
      <c r="D20" s="378"/>
      <c r="E20" s="378"/>
      <c r="F20" s="378"/>
      <c r="G20" s="378"/>
      <c r="H20" s="378"/>
      <c r="I20" s="378"/>
      <c r="J20" s="378"/>
      <c r="K20" s="378"/>
    </row>
    <row r="21" spans="1:18" ht="15.75" customHeight="1" x14ac:dyDescent="0.25">
      <c r="A21" s="377"/>
      <c r="B21" s="378"/>
      <c r="C21" s="378"/>
      <c r="D21" s="378"/>
      <c r="E21" s="378"/>
      <c r="F21" s="378"/>
      <c r="G21" s="378"/>
      <c r="H21" s="378"/>
      <c r="I21" s="378"/>
      <c r="J21" s="378"/>
      <c r="K21" s="378"/>
    </row>
    <row r="22" spans="1:18" ht="15.75" customHeight="1" x14ac:dyDescent="0.25">
      <c r="A22" s="377"/>
      <c r="B22" s="378"/>
      <c r="C22" s="378"/>
      <c r="D22" s="378"/>
      <c r="E22" s="378"/>
      <c r="F22" s="378"/>
      <c r="G22" s="378"/>
      <c r="H22" s="378"/>
      <c r="I22" s="378"/>
      <c r="J22" s="378"/>
      <c r="K22" s="378"/>
    </row>
    <row r="23" spans="1:18" ht="15.75" customHeight="1" x14ac:dyDescent="0.25">
      <c r="A23" s="377"/>
      <c r="B23" s="378"/>
      <c r="C23" s="378"/>
      <c r="D23" s="378"/>
      <c r="E23" s="378"/>
      <c r="F23" s="378"/>
      <c r="G23" s="378"/>
      <c r="H23" s="378"/>
      <c r="I23" s="378"/>
      <c r="J23" s="378"/>
      <c r="K23" s="378"/>
    </row>
    <row r="24" spans="1:18" ht="15.75" customHeight="1" x14ac:dyDescent="0.25">
      <c r="A24" s="377"/>
      <c r="B24" s="378"/>
      <c r="C24" s="378"/>
      <c r="D24" s="378"/>
      <c r="E24" s="378"/>
      <c r="F24" s="378"/>
      <c r="G24" s="378"/>
      <c r="H24" s="378"/>
      <c r="I24" s="378"/>
      <c r="J24" s="378"/>
      <c r="K24" s="378"/>
    </row>
    <row r="25" spans="1:18" ht="15.75" customHeight="1" x14ac:dyDescent="0.25">
      <c r="A25" s="377"/>
      <c r="B25" s="378"/>
      <c r="C25" s="378"/>
      <c r="D25" s="378"/>
      <c r="E25" s="378"/>
      <c r="F25" s="378"/>
      <c r="G25" s="378"/>
      <c r="H25" s="378"/>
      <c r="I25" s="378"/>
      <c r="J25" s="378"/>
      <c r="K25" s="378"/>
    </row>
    <row r="26" spans="1:18" ht="15" customHeight="1" x14ac:dyDescent="0.25">
      <c r="A26" s="377"/>
      <c r="B26" s="378"/>
      <c r="C26" s="378"/>
      <c r="D26" s="378"/>
      <c r="E26" s="378"/>
      <c r="F26" s="378"/>
      <c r="G26" s="378"/>
      <c r="H26" s="378"/>
      <c r="I26" s="378"/>
      <c r="J26" s="378"/>
      <c r="K26" s="378"/>
    </row>
    <row r="27" spans="1:18" ht="15.75" customHeight="1" x14ac:dyDescent="0.25">
      <c r="A27" s="377"/>
      <c r="B27" s="378"/>
      <c r="C27" s="378"/>
      <c r="D27" s="378"/>
      <c r="E27" s="378"/>
      <c r="F27" s="378"/>
      <c r="G27" s="378"/>
      <c r="H27" s="378"/>
      <c r="I27" s="378"/>
      <c r="J27" s="378"/>
      <c r="K27" s="378"/>
    </row>
    <row r="28" spans="1:18" x14ac:dyDescent="0.25">
      <c r="A28" s="26"/>
      <c r="B28" s="26"/>
      <c r="C28" s="26"/>
      <c r="D28" s="26"/>
      <c r="E28" s="26"/>
      <c r="F28" s="26"/>
      <c r="G28" s="26"/>
      <c r="H28" s="26"/>
      <c r="I28" s="26"/>
      <c r="J28" s="26"/>
      <c r="K28" s="26"/>
      <c r="L28" s="79"/>
      <c r="M28" s="79"/>
      <c r="N28" s="79"/>
      <c r="O28" s="79"/>
      <c r="P28" s="79"/>
      <c r="Q28" s="79"/>
      <c r="R28" s="79"/>
    </row>
    <row r="30" spans="1:18" ht="42.75" customHeight="1" x14ac:dyDescent="0.25">
      <c r="A30" s="374" t="s">
        <v>693</v>
      </c>
      <c r="B30" s="374"/>
      <c r="C30" s="374"/>
      <c r="D30" s="374"/>
      <c r="E30" s="374"/>
      <c r="F30" s="374"/>
      <c r="G30" s="374"/>
      <c r="H30" s="374"/>
      <c r="I30" s="374"/>
      <c r="J30" s="374"/>
      <c r="K30" s="374"/>
      <c r="L30" s="374"/>
      <c r="M30" s="374"/>
      <c r="N30" s="374"/>
      <c r="O30" s="374"/>
      <c r="P30" s="374"/>
    </row>
    <row r="31" spans="1:18" x14ac:dyDescent="0.25">
      <c r="A31" s="374"/>
      <c r="B31" s="374"/>
      <c r="C31" s="374"/>
      <c r="D31" s="374"/>
      <c r="E31" s="374"/>
      <c r="F31" s="374"/>
      <c r="G31" s="374"/>
      <c r="H31" s="374"/>
      <c r="I31" s="374"/>
      <c r="J31" s="374"/>
      <c r="K31" s="374"/>
      <c r="L31" s="374"/>
      <c r="M31" s="374"/>
      <c r="N31" s="374"/>
      <c r="O31" s="374"/>
      <c r="P31" s="374"/>
    </row>
  </sheetData>
  <mergeCells count="3">
    <mergeCell ref="A30:P31"/>
    <mergeCell ref="A4:K4"/>
    <mergeCell ref="A5:K27"/>
  </mergeCells>
  <pageMargins left="0.511811024" right="0.511811024" top="0.78740157499999996" bottom="0.78740157499999996" header="0.31496062000000002" footer="0.31496062000000002"/>
  <pageSetup paperSize="9" orientation="portrait" r:id="rId1"/>
  <drawing r:id="rId2"/>
  <legacyDrawing r:id="rId3"/>
  <oleObjects>
    <mc:AlternateContent xmlns:mc="http://schemas.openxmlformats.org/markup-compatibility/2006">
      <mc:Choice Requires="x14">
        <oleObject progId="PowerPoint.Slide.12" shapeId="2" r:id="rId4">
          <objectPr defaultSize="0" autoPict="0" r:id="rId5">
            <anchor moveWithCells="1">
              <from>
                <xdr:col>0</xdr:col>
                <xdr:colOff>28575</xdr:colOff>
                <xdr:row>4</xdr:row>
                <xdr:rowOff>0</xdr:rowOff>
              </from>
              <to>
                <xdr:col>11</xdr:col>
                <xdr:colOff>0</xdr:colOff>
                <xdr:row>28</xdr:row>
                <xdr:rowOff>28575</xdr:rowOff>
              </to>
            </anchor>
          </objectPr>
        </oleObject>
      </mc:Choice>
      <mc:Fallback>
        <oleObject progId="PowerPoint.Slide.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5" tint="0.39997558519241921"/>
  </sheetPr>
  <dimension ref="B3:L35"/>
  <sheetViews>
    <sheetView showGridLines="0" zoomScale="80" zoomScaleNormal="80" zoomScaleSheetLayoutView="80" workbookViewId="0">
      <selection activeCell="B33" sqref="B33:F33"/>
    </sheetView>
  </sheetViews>
  <sheetFormatPr defaultRowHeight="15" x14ac:dyDescent="0.25"/>
  <cols>
    <col min="1" max="1" width="0.85546875" customWidth="1"/>
    <col min="2" max="2" width="56.5703125" bestFit="1" customWidth="1"/>
    <col min="3" max="3" width="9.85546875" customWidth="1"/>
    <col min="4" max="4" width="37" customWidth="1"/>
    <col min="5" max="5" width="9.85546875" customWidth="1"/>
    <col min="6" max="6" width="41.85546875" customWidth="1"/>
    <col min="12" max="12" width="25.7109375" hidden="1" customWidth="1"/>
  </cols>
  <sheetData>
    <row r="3" spans="2:12" ht="34.5" customHeight="1" x14ac:dyDescent="0.25"/>
    <row r="4" spans="2:12" ht="43.5" customHeight="1" x14ac:dyDescent="0.3">
      <c r="B4" s="557" t="s">
        <v>133</v>
      </c>
      <c r="C4" s="557"/>
      <c r="D4" s="557"/>
      <c r="E4" s="557"/>
      <c r="F4" s="557"/>
    </row>
    <row r="5" spans="2:12" ht="3" customHeight="1" x14ac:dyDescent="0.25"/>
    <row r="6" spans="2:12" ht="27.75" customHeight="1" x14ac:dyDescent="0.25">
      <c r="B6" s="545" t="s">
        <v>134</v>
      </c>
      <c r="C6" s="546"/>
      <c r="D6" s="546"/>
      <c r="E6" s="546"/>
      <c r="F6" s="547"/>
      <c r="L6" t="s">
        <v>70</v>
      </c>
    </row>
    <row r="7" spans="2:12" s="2" customFormat="1" ht="30" customHeight="1" x14ac:dyDescent="0.25">
      <c r="B7" s="558" t="s">
        <v>132</v>
      </c>
      <c r="C7" s="559"/>
      <c r="D7" s="15"/>
      <c r="E7" s="15"/>
      <c r="F7" s="15"/>
      <c r="G7" s="5"/>
      <c r="H7" s="5"/>
      <c r="I7" s="5"/>
      <c r="J7" s="5"/>
      <c r="K7" s="5"/>
      <c r="L7" s="2" t="s">
        <v>79</v>
      </c>
    </row>
    <row r="8" spans="2:12" x14ac:dyDescent="0.25">
      <c r="L8" t="s">
        <v>78</v>
      </c>
    </row>
    <row r="9" spans="2:12" s="1" customFormat="1" ht="24" customHeight="1" x14ac:dyDescent="0.25">
      <c r="B9" s="11" t="s">
        <v>47</v>
      </c>
      <c r="C9" s="12"/>
      <c r="D9" s="12"/>
      <c r="E9" s="12"/>
      <c r="F9" s="13"/>
    </row>
    <row r="10" spans="2:12" s="1" customFormat="1" ht="20.25" customHeight="1" x14ac:dyDescent="0.25">
      <c r="B10" s="9" t="s">
        <v>44</v>
      </c>
      <c r="C10" s="567"/>
      <c r="D10" s="568"/>
      <c r="E10" s="568"/>
      <c r="F10" s="569"/>
    </row>
    <row r="11" spans="2:12" s="1" customFormat="1" ht="33" customHeight="1" x14ac:dyDescent="0.25">
      <c r="B11" s="7" t="s">
        <v>45</v>
      </c>
      <c r="C11" s="567"/>
      <c r="D11" s="568"/>
      <c r="E11" s="568"/>
      <c r="F11" s="569"/>
    </row>
    <row r="12" spans="2:12" s="1" customFormat="1" ht="20.25" customHeight="1" x14ac:dyDescent="0.25">
      <c r="B12" s="9" t="s">
        <v>92</v>
      </c>
      <c r="C12" s="567"/>
      <c r="D12" s="568"/>
      <c r="E12" s="568"/>
      <c r="F12" s="569"/>
    </row>
    <row r="13" spans="2:12" s="1" customFormat="1" ht="30" customHeight="1" x14ac:dyDescent="0.25">
      <c r="B13" s="9" t="s">
        <v>93</v>
      </c>
      <c r="C13" s="567"/>
      <c r="D13" s="568"/>
      <c r="E13" s="568"/>
      <c r="F13" s="569"/>
    </row>
    <row r="14" spans="2:12" s="1" customFormat="1" ht="27" customHeight="1" x14ac:dyDescent="0.25">
      <c r="B14" s="9" t="s">
        <v>46</v>
      </c>
      <c r="C14" s="567"/>
      <c r="D14" s="568"/>
      <c r="E14" s="568"/>
      <c r="F14" s="569"/>
    </row>
    <row r="15" spans="2:12" s="1" customFormat="1" ht="26.25" customHeight="1" x14ac:dyDescent="0.25">
      <c r="B15" s="9" t="s">
        <v>94</v>
      </c>
      <c r="C15" s="567"/>
      <c r="D15" s="568"/>
      <c r="E15" s="568"/>
      <c r="F15" s="569"/>
    </row>
    <row r="16" spans="2:12" s="1" customFormat="1" x14ac:dyDescent="0.25">
      <c r="B16" s="10"/>
      <c r="C16" s="10"/>
      <c r="D16" s="10"/>
      <c r="E16" s="10"/>
      <c r="F16" s="10"/>
    </row>
    <row r="17" spans="2:10" s="1" customFormat="1" ht="24" customHeight="1" x14ac:dyDescent="0.25">
      <c r="B17" s="11" t="s">
        <v>48</v>
      </c>
      <c r="C17" s="12"/>
      <c r="D17" s="12"/>
      <c r="E17" s="12"/>
      <c r="F17" s="13"/>
    </row>
    <row r="18" spans="2:10" s="1" customFormat="1" ht="14.25" customHeight="1" x14ac:dyDescent="0.25">
      <c r="B18" s="19" t="s">
        <v>81</v>
      </c>
      <c r="C18" s="14"/>
      <c r="D18" s="14"/>
      <c r="E18" s="14"/>
      <c r="F18" s="14"/>
    </row>
    <row r="19" spans="2:10" s="1" customFormat="1" ht="33" customHeight="1" x14ac:dyDescent="0.25">
      <c r="B19" s="8" t="s">
        <v>82</v>
      </c>
      <c r="C19" s="548"/>
      <c r="D19" s="549"/>
      <c r="E19" s="549"/>
      <c r="F19" s="550"/>
    </row>
    <row r="20" spans="2:10" s="1" customFormat="1" ht="15.75" customHeight="1" x14ac:dyDescent="0.25">
      <c r="B20" s="21" t="s">
        <v>80</v>
      </c>
      <c r="C20" s="563"/>
      <c r="D20" s="564"/>
      <c r="E20" s="564"/>
      <c r="F20" s="565"/>
      <c r="G20" s="71"/>
      <c r="H20" s="71" t="s">
        <v>139</v>
      </c>
      <c r="I20" s="71"/>
      <c r="J20" s="71"/>
    </row>
    <row r="21" spans="2:10" s="1" customFormat="1" ht="33" customHeight="1" x14ac:dyDescent="0.25">
      <c r="B21" s="8" t="s">
        <v>83</v>
      </c>
      <c r="C21" s="548"/>
      <c r="D21" s="549"/>
      <c r="E21" s="549"/>
      <c r="F21" s="550"/>
    </row>
    <row r="22" spans="2:10" s="1" customFormat="1" ht="15.75" customHeight="1" x14ac:dyDescent="0.25">
      <c r="B22" s="21" t="s">
        <v>80</v>
      </c>
      <c r="C22" s="563"/>
      <c r="D22" s="564"/>
      <c r="E22" s="564"/>
      <c r="F22" s="565"/>
    </row>
    <row r="23" spans="2:10" s="1" customFormat="1" ht="33" customHeight="1" x14ac:dyDescent="0.25">
      <c r="B23" s="8" t="s">
        <v>84</v>
      </c>
      <c r="C23" s="548"/>
      <c r="D23" s="549"/>
      <c r="E23" s="549"/>
      <c r="F23" s="550"/>
    </row>
    <row r="24" spans="2:10" s="1" customFormat="1" ht="15.75" customHeight="1" x14ac:dyDescent="0.25">
      <c r="B24" s="21" t="s">
        <v>80</v>
      </c>
      <c r="C24" s="563"/>
      <c r="D24" s="564"/>
      <c r="E24" s="564"/>
      <c r="F24" s="565"/>
    </row>
    <row r="25" spans="2:10" s="1" customFormat="1" ht="33" customHeight="1" x14ac:dyDescent="0.25">
      <c r="B25" s="75" t="s">
        <v>85</v>
      </c>
      <c r="C25" s="548"/>
      <c r="D25" s="549"/>
      <c r="E25" s="549"/>
      <c r="F25" s="550"/>
    </row>
    <row r="26" spans="2:10" s="1" customFormat="1" ht="25.5" customHeight="1" x14ac:dyDescent="0.25">
      <c r="B26" s="9" t="s">
        <v>86</v>
      </c>
      <c r="C26" s="9" t="s">
        <v>0</v>
      </c>
      <c r="D26" s="22"/>
      <c r="E26" s="9" t="s">
        <v>1</v>
      </c>
      <c r="F26" s="22"/>
    </row>
    <row r="27" spans="2:10" s="1" customFormat="1" x14ac:dyDescent="0.25">
      <c r="B27" s="566"/>
      <c r="C27" s="566"/>
      <c r="D27" s="566"/>
      <c r="E27" s="566"/>
      <c r="F27" s="566"/>
    </row>
    <row r="28" spans="2:10" s="1" customFormat="1" ht="24" customHeight="1" x14ac:dyDescent="0.25">
      <c r="B28" s="11" t="s">
        <v>91</v>
      </c>
      <c r="C28" s="12"/>
      <c r="D28" s="12"/>
      <c r="E28" s="12"/>
      <c r="F28" s="13"/>
    </row>
    <row r="29" spans="2:10" s="1" customFormat="1" ht="20.100000000000001" customHeight="1" x14ac:dyDescent="0.25">
      <c r="B29" s="9" t="s">
        <v>49</v>
      </c>
      <c r="C29" s="553"/>
      <c r="D29" s="553"/>
      <c r="E29" s="553"/>
      <c r="F29" s="553"/>
    </row>
    <row r="30" spans="2:10" s="1" customFormat="1" ht="20.100000000000001" customHeight="1" x14ac:dyDescent="0.25">
      <c r="B30" s="8" t="s">
        <v>2</v>
      </c>
      <c r="C30" s="23"/>
      <c r="D30" s="9" t="s">
        <v>3</v>
      </c>
      <c r="E30" s="23"/>
      <c r="F30" s="23" t="s">
        <v>76</v>
      </c>
    </row>
    <row r="31" spans="2:10" s="1" customFormat="1" x14ac:dyDescent="0.25">
      <c r="B31" s="552"/>
      <c r="C31" s="552"/>
      <c r="D31" s="552"/>
      <c r="E31" s="552"/>
      <c r="F31" s="552"/>
    </row>
    <row r="32" spans="2:10" s="1" customFormat="1" ht="24" customHeight="1" x14ac:dyDescent="0.25">
      <c r="B32" s="560" t="s">
        <v>119</v>
      </c>
      <c r="C32" s="561"/>
      <c r="D32" s="561"/>
      <c r="E32" s="561"/>
      <c r="F32" s="562"/>
    </row>
    <row r="33" spans="2:6" s="1" customFormat="1" ht="63.75" customHeight="1" x14ac:dyDescent="0.25">
      <c r="B33" s="554"/>
      <c r="C33" s="555"/>
      <c r="D33" s="555"/>
      <c r="E33" s="555"/>
      <c r="F33" s="556"/>
    </row>
    <row r="34" spans="2:6" s="1" customFormat="1" ht="20.100000000000001" customHeight="1" x14ac:dyDescent="0.25">
      <c r="B34" s="551"/>
      <c r="C34" s="551"/>
      <c r="D34" s="551"/>
      <c r="E34" s="551"/>
      <c r="F34" s="551"/>
    </row>
    <row r="35" spans="2:6" s="6" customFormat="1" x14ac:dyDescent="0.25"/>
  </sheetData>
  <sheetProtection formatCells="0" selectLockedCells="1"/>
  <dataConsolidate link="1"/>
  <mergeCells count="22">
    <mergeCell ref="B4:F4"/>
    <mergeCell ref="B7:C7"/>
    <mergeCell ref="B32:F32"/>
    <mergeCell ref="C25:F25"/>
    <mergeCell ref="C20:F20"/>
    <mergeCell ref="B27:F27"/>
    <mergeCell ref="C12:F12"/>
    <mergeCell ref="C11:F11"/>
    <mergeCell ref="C23:F23"/>
    <mergeCell ref="C19:F19"/>
    <mergeCell ref="C10:F10"/>
    <mergeCell ref="C22:F22"/>
    <mergeCell ref="C24:F24"/>
    <mergeCell ref="C15:F15"/>
    <mergeCell ref="C14:F14"/>
    <mergeCell ref="C13:F13"/>
    <mergeCell ref="B6:F6"/>
    <mergeCell ref="C21:F21"/>
    <mergeCell ref="B34:F34"/>
    <mergeCell ref="B31:F31"/>
    <mergeCell ref="C29:F29"/>
    <mergeCell ref="B33:F33"/>
  </mergeCells>
  <conditionalFormatting sqref="C20:F20">
    <cfRule type="cellIs" dxfId="2" priority="7" operator="equal">
      <formula>"PREENCHIMENTO AUTOMÁTICO"</formula>
    </cfRule>
  </conditionalFormatting>
  <conditionalFormatting sqref="C22:F22">
    <cfRule type="cellIs" dxfId="1" priority="2" operator="equal">
      <formula>"PREENCHIMENTO AUTOMÁTICO"</formula>
    </cfRule>
  </conditionalFormatting>
  <conditionalFormatting sqref="C24:F24">
    <cfRule type="cellIs" dxfId="0" priority="1" operator="equal">
      <formula>"PREENCHIMENTO AUTOMÁTICO"</formula>
    </cfRule>
  </conditionalFormatting>
  <dataValidations count="2">
    <dataValidation type="list" allowBlank="1" showInputMessage="1" showErrorMessage="1" sqref="C20:F20 C22:F22 C24:F24">
      <formula1>$L$4:$L$8</formula1>
    </dataValidation>
    <dataValidation type="list" allowBlank="1" showInputMessage="1" showErrorMessage="1" sqref="C21:F21 C23:F23">
      <formula1>$B$11:$B$26</formula1>
    </dataValidation>
  </dataValidations>
  <pageMargins left="0.23622047244094491" right="0.23622047244094491"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C19:F19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2"/>
  <sheetViews>
    <sheetView zoomScale="80" zoomScaleNormal="80" workbookViewId="0">
      <selection activeCell="R15" sqref="R15"/>
    </sheetView>
  </sheetViews>
  <sheetFormatPr defaultColWidth="9.140625" defaultRowHeight="15" x14ac:dyDescent="0.25"/>
  <cols>
    <col min="1" max="11" width="13.85546875" style="27" customWidth="1"/>
    <col min="12" max="12" width="8.85546875" style="27" customWidth="1"/>
    <col min="13" max="16384" width="9.140625" style="27"/>
  </cols>
  <sheetData>
    <row r="2" spans="1:1" ht="15.75" x14ac:dyDescent="0.25">
      <c r="A2" s="76"/>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AN32"/>
  <sheetViews>
    <sheetView showGridLines="0" topLeftCell="A13" zoomScale="50" zoomScaleNormal="50" zoomScaleSheetLayoutView="80" workbookViewId="0">
      <selection activeCell="M35" sqref="M35"/>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3.8554687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368</v>
      </c>
      <c r="H7" s="572"/>
      <c r="I7" s="572"/>
      <c r="J7" s="572"/>
      <c r="K7" s="572"/>
      <c r="L7" s="572"/>
      <c r="M7" s="572"/>
      <c r="N7" s="572"/>
      <c r="O7" s="572"/>
      <c r="P7" s="572"/>
      <c r="Q7" s="572"/>
      <c r="R7" s="572"/>
      <c r="S7" s="2" t="b">
        <f>G7='Quadro Geral'!A9</f>
        <v>1</v>
      </c>
    </row>
    <row r="8" spans="1:19" ht="54" customHeight="1" x14ac:dyDescent="0.4">
      <c r="A8" s="571" t="s">
        <v>140</v>
      </c>
      <c r="B8" s="571"/>
      <c r="C8" s="571"/>
      <c r="D8" s="571"/>
      <c r="E8" s="571"/>
      <c r="F8" s="571"/>
      <c r="G8" s="572" t="s">
        <v>642</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386</v>
      </c>
      <c r="H10" s="572"/>
      <c r="I10" s="572"/>
      <c r="J10" s="572"/>
      <c r="K10" s="572"/>
      <c r="L10" s="572"/>
      <c r="M10" s="572"/>
      <c r="N10" s="572"/>
      <c r="O10" s="572"/>
      <c r="P10" s="572"/>
      <c r="Q10" s="572"/>
      <c r="R10" s="572"/>
      <c r="S10" s="2" t="b">
        <f>G10='Quadro Geral'!E9</f>
        <v>1</v>
      </c>
    </row>
    <row r="11" spans="1:19" ht="54" customHeight="1" x14ac:dyDescent="0.4">
      <c r="A11" s="571" t="s">
        <v>154</v>
      </c>
      <c r="B11" s="571"/>
      <c r="C11" s="571"/>
      <c r="D11" s="571"/>
      <c r="E11" s="571"/>
      <c r="F11" s="571"/>
      <c r="G11" s="572" t="s">
        <v>414</v>
      </c>
      <c r="H11" s="572"/>
      <c r="I11" s="572"/>
      <c r="J11" s="572"/>
      <c r="K11" s="572"/>
      <c r="L11" s="572"/>
      <c r="M11" s="572"/>
      <c r="N11" s="572"/>
      <c r="O11" s="572"/>
      <c r="P11" s="572"/>
      <c r="Q11" s="572"/>
      <c r="R11" s="572"/>
      <c r="S11" s="2" t="b">
        <f>G11='Quadro Geral'!F9</f>
        <v>1</v>
      </c>
    </row>
    <row r="12" spans="1:19" ht="54" customHeight="1" x14ac:dyDescent="0.4">
      <c r="A12" s="571" t="s">
        <v>142</v>
      </c>
      <c r="B12" s="571"/>
      <c r="C12" s="571"/>
      <c r="D12" s="571"/>
      <c r="E12" s="571"/>
      <c r="F12" s="571"/>
      <c r="G12" s="572" t="s">
        <v>61</v>
      </c>
      <c r="H12" s="572"/>
      <c r="I12" s="572"/>
      <c r="J12" s="572"/>
      <c r="K12" s="572"/>
      <c r="L12" s="572"/>
      <c r="M12" s="572"/>
      <c r="N12" s="572"/>
      <c r="O12" s="572"/>
      <c r="P12" s="572"/>
      <c r="Q12" s="572"/>
      <c r="R12" s="572"/>
      <c r="S12" s="2" t="b">
        <f>G12='Quadro Geral'!G9</f>
        <v>1</v>
      </c>
    </row>
    <row r="13" spans="1:19" ht="105" customHeight="1" x14ac:dyDescent="0.4">
      <c r="A13" s="383" t="s">
        <v>155</v>
      </c>
      <c r="B13" s="383"/>
      <c r="C13" s="383"/>
      <c r="D13" s="383"/>
      <c r="E13" s="383"/>
      <c r="F13" s="383"/>
      <c r="G13" s="573" t="s">
        <v>442</v>
      </c>
      <c r="H13" s="573"/>
      <c r="I13" s="573"/>
      <c r="J13" s="573"/>
      <c r="K13" s="573"/>
      <c r="L13" s="573"/>
      <c r="M13" s="573"/>
      <c r="N13" s="573"/>
      <c r="O13" s="573"/>
      <c r="P13" s="573"/>
      <c r="Q13" s="573"/>
      <c r="R13" s="573"/>
      <c r="S13" s="2" t="b">
        <f>G13='Quadro Geral'!H9</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31.25" x14ac:dyDescent="0.25">
      <c r="A18" s="136">
        <v>1</v>
      </c>
      <c r="B18" s="585" t="s">
        <v>641</v>
      </c>
      <c r="C18" s="122" t="s">
        <v>469</v>
      </c>
      <c r="D18" s="122" t="s">
        <v>472</v>
      </c>
      <c r="E18" s="122" t="s">
        <v>475</v>
      </c>
      <c r="F18" s="123">
        <v>43466</v>
      </c>
      <c r="G18" s="123">
        <v>43830</v>
      </c>
      <c r="H18" s="600">
        <v>156018</v>
      </c>
      <c r="I18" s="600">
        <v>79053</v>
      </c>
      <c r="J18" s="600">
        <v>104624</v>
      </c>
      <c r="K18" s="603">
        <f>I18+J18</f>
        <v>183677</v>
      </c>
      <c r="L18" s="138">
        <f>K18-H18</f>
        <v>27659</v>
      </c>
      <c r="M18" s="124">
        <f>IFERROR(L18/H18*100,0)</f>
        <v>17.728082657129303</v>
      </c>
      <c r="N18" s="124">
        <f>IFERROR(K18/$K$21*100,0)</f>
        <v>100</v>
      </c>
      <c r="O18" s="124" t="s">
        <v>165</v>
      </c>
      <c r="P18" s="167"/>
      <c r="Q18" s="171">
        <f>IFERROR(P18/K18*100,)</f>
        <v>0</v>
      </c>
      <c r="R18" s="122" t="s">
        <v>642</v>
      </c>
      <c r="AN18" s="2" t="s">
        <v>237</v>
      </c>
    </row>
    <row r="19" spans="1:40" ht="183.75" x14ac:dyDescent="0.25">
      <c r="A19" s="136">
        <v>2</v>
      </c>
      <c r="B19" s="586"/>
      <c r="C19" s="122" t="s">
        <v>470</v>
      </c>
      <c r="D19" s="122" t="s">
        <v>473</v>
      </c>
      <c r="E19" s="276" t="s">
        <v>476</v>
      </c>
      <c r="F19" s="123">
        <v>43466</v>
      </c>
      <c r="G19" s="123">
        <v>43830</v>
      </c>
      <c r="H19" s="601"/>
      <c r="I19" s="601"/>
      <c r="J19" s="601"/>
      <c r="K19" s="604"/>
      <c r="L19" s="138">
        <f t="shared" ref="L19:L21" si="0">K19-H19</f>
        <v>0</v>
      </c>
      <c r="M19" s="124">
        <f t="shared" ref="M19:M20" si="1">IFERROR(L19/H19*100,0)</f>
        <v>0</v>
      </c>
      <c r="N19" s="124">
        <f>IFERROR(K19/$K$21*100,0)</f>
        <v>0</v>
      </c>
      <c r="O19" s="124" t="s">
        <v>165</v>
      </c>
      <c r="P19" s="167"/>
      <c r="Q19" s="171">
        <f t="shared" ref="Q19:Q20" si="2">IFERROR(P19/K19*100,)</f>
        <v>0</v>
      </c>
      <c r="R19" s="122" t="s">
        <v>642</v>
      </c>
    </row>
    <row r="20" spans="1:40" ht="131.25" x14ac:dyDescent="0.25">
      <c r="A20" s="136">
        <v>3</v>
      </c>
      <c r="B20" s="587"/>
      <c r="C20" s="122" t="s">
        <v>471</v>
      </c>
      <c r="D20" s="122" t="s">
        <v>474</v>
      </c>
      <c r="E20" s="122" t="s">
        <v>477</v>
      </c>
      <c r="F20" s="123">
        <v>43466</v>
      </c>
      <c r="G20" s="123">
        <v>43830</v>
      </c>
      <c r="H20" s="602"/>
      <c r="I20" s="602"/>
      <c r="J20" s="602"/>
      <c r="K20" s="605"/>
      <c r="L20" s="138">
        <f t="shared" si="0"/>
        <v>0</v>
      </c>
      <c r="M20" s="124">
        <f t="shared" si="1"/>
        <v>0</v>
      </c>
      <c r="N20" s="124">
        <f>IFERROR(K20/$K$21*100,0)</f>
        <v>0</v>
      </c>
      <c r="O20" s="124" t="s">
        <v>165</v>
      </c>
      <c r="P20" s="167"/>
      <c r="Q20" s="171">
        <f t="shared" si="2"/>
        <v>0</v>
      </c>
      <c r="R20" s="122" t="s">
        <v>642</v>
      </c>
    </row>
    <row r="21" spans="1:40" s="3" customFormat="1" ht="24.75" customHeight="1" x14ac:dyDescent="0.4">
      <c r="A21" s="597" t="s">
        <v>3</v>
      </c>
      <c r="B21" s="598"/>
      <c r="C21" s="598"/>
      <c r="D21" s="598"/>
      <c r="E21" s="598"/>
      <c r="F21" s="598"/>
      <c r="G21" s="599"/>
      <c r="H21" s="139">
        <f>SUM(H18:H20)</f>
        <v>156018</v>
      </c>
      <c r="I21" s="139">
        <f>SUM(I18:I20)</f>
        <v>79053</v>
      </c>
      <c r="J21" s="139">
        <f>SUM(J18:J20)</f>
        <v>104624</v>
      </c>
      <c r="K21" s="139">
        <f>SUM(K18:K20)</f>
        <v>183677</v>
      </c>
      <c r="L21" s="169">
        <f t="shared" si="0"/>
        <v>27659</v>
      </c>
      <c r="M21" s="170">
        <f>IFERROR(L21/H21*100,0)</f>
        <v>17.728082657129303</v>
      </c>
      <c r="N21" s="170">
        <f>SUM(N18:N20)</f>
        <v>100</v>
      </c>
      <c r="O21" s="170"/>
      <c r="P21" s="168">
        <f>SUM(P18:P20)</f>
        <v>0</v>
      </c>
      <c r="Q21" s="140">
        <f>IFERROR(P21/K21*100,)</f>
        <v>0</v>
      </c>
      <c r="R21" s="140"/>
    </row>
    <row r="22" spans="1:40" s="3" customFormat="1" ht="24.75" customHeight="1" x14ac:dyDescent="0.4">
      <c r="A22" s="298"/>
      <c r="B22" s="298"/>
      <c r="C22" s="298"/>
      <c r="D22" s="298"/>
      <c r="E22" s="298"/>
      <c r="F22" s="298"/>
      <c r="G22" s="298"/>
      <c r="H22" s="298"/>
      <c r="I22" s="298"/>
      <c r="J22" s="298"/>
      <c r="K22" s="298"/>
      <c r="L22" s="299"/>
      <c r="M22" s="300"/>
      <c r="N22" s="300"/>
      <c r="O22" s="300"/>
      <c r="P22" s="301"/>
      <c r="Q22" s="302"/>
      <c r="R22" s="302"/>
    </row>
    <row r="23" spans="1:40" s="3" customFormat="1" ht="24.75" customHeight="1" x14ac:dyDescent="0.4">
      <c r="A23" s="298"/>
      <c r="B23" s="298"/>
      <c r="C23" s="298"/>
      <c r="D23" s="298"/>
      <c r="E23" s="298"/>
      <c r="F23" s="298"/>
      <c r="G23" s="298"/>
      <c r="H23" s="298"/>
      <c r="I23" s="298"/>
      <c r="J23" s="298"/>
      <c r="K23" s="298"/>
      <c r="L23" s="299"/>
      <c r="M23" s="300"/>
      <c r="N23" s="300"/>
      <c r="O23" s="300"/>
      <c r="P23" s="301"/>
      <c r="Q23" s="302"/>
      <c r="R23" s="302"/>
    </row>
    <row r="24" spans="1:40" x14ac:dyDescent="0.4">
      <c r="A24" s="589" t="s">
        <v>116</v>
      </c>
      <c r="B24" s="589"/>
      <c r="C24" s="589"/>
      <c r="D24" s="589"/>
      <c r="E24" s="589"/>
      <c r="F24" s="589"/>
      <c r="G24" s="589"/>
      <c r="H24" s="589"/>
      <c r="I24" s="589"/>
      <c r="J24" s="589"/>
      <c r="K24" s="589"/>
      <c r="L24" s="589"/>
      <c r="M24" s="589"/>
      <c r="N24" s="589"/>
      <c r="O24" s="589"/>
      <c r="P24" s="589"/>
      <c r="Q24" s="589"/>
      <c r="R24" s="589"/>
    </row>
    <row r="25" spans="1:40" ht="36" customHeight="1" x14ac:dyDescent="0.25">
      <c r="A25" s="590" t="s">
        <v>179</v>
      </c>
      <c r="B25" s="591"/>
      <c r="C25" s="591"/>
      <c r="D25" s="591"/>
      <c r="E25" s="591"/>
      <c r="F25" s="591"/>
      <c r="G25" s="591"/>
      <c r="H25" s="591"/>
      <c r="I25" s="591"/>
      <c r="J25" s="591"/>
      <c r="K25" s="591"/>
      <c r="L25" s="591"/>
      <c r="M25" s="591"/>
      <c r="N25" s="591"/>
      <c r="O25" s="591"/>
      <c r="P25" s="591"/>
      <c r="Q25" s="591"/>
      <c r="R25" s="592"/>
    </row>
    <row r="26" spans="1:40" ht="95.25" customHeight="1" x14ac:dyDescent="0.4">
      <c r="A26" s="593"/>
      <c r="B26" s="594"/>
      <c r="C26" s="594"/>
      <c r="D26" s="594"/>
      <c r="E26" s="594"/>
      <c r="F26" s="594"/>
      <c r="G26" s="594"/>
      <c r="H26" s="594"/>
      <c r="I26" s="594"/>
      <c r="J26" s="594"/>
      <c r="K26" s="594"/>
      <c r="L26" s="594"/>
      <c r="M26" s="594"/>
      <c r="N26" s="594"/>
      <c r="O26" s="594"/>
      <c r="P26" s="594"/>
      <c r="Q26" s="594"/>
      <c r="R26" s="595"/>
    </row>
    <row r="27" spans="1:40" ht="15" hidden="1" customHeight="1" x14ac:dyDescent="0.4">
      <c r="A27" s="596" t="s">
        <v>12</v>
      </c>
      <c r="B27" s="596"/>
      <c r="C27" s="596"/>
      <c r="D27" s="596"/>
      <c r="E27" s="596"/>
      <c r="F27" s="596"/>
      <c r="G27" s="141"/>
      <c r="H27" s="141"/>
      <c r="I27" s="141"/>
      <c r="J27" s="141"/>
      <c r="K27" s="141"/>
      <c r="L27" s="141"/>
      <c r="M27" s="141"/>
      <c r="N27" s="141"/>
      <c r="O27" s="141"/>
      <c r="P27" s="141"/>
      <c r="Q27" s="141"/>
      <c r="R27" s="141"/>
    </row>
    <row r="28" spans="1:40" ht="15" hidden="1" customHeight="1" x14ac:dyDescent="0.4">
      <c r="A28" s="142" t="s">
        <v>16</v>
      </c>
      <c r="B28" s="142"/>
      <c r="C28" s="588" t="s">
        <v>20</v>
      </c>
      <c r="D28" s="588"/>
      <c r="E28" s="588"/>
      <c r="F28" s="588"/>
      <c r="P28" s="77"/>
      <c r="Q28" s="77"/>
      <c r="R28" s="77"/>
    </row>
    <row r="29" spans="1:40" ht="15" hidden="1" customHeight="1" x14ac:dyDescent="0.4">
      <c r="A29" s="142" t="s">
        <v>17</v>
      </c>
      <c r="B29" s="142"/>
      <c r="C29" s="588" t="s">
        <v>13</v>
      </c>
      <c r="D29" s="588"/>
      <c r="E29" s="588"/>
      <c r="F29" s="588"/>
      <c r="P29" s="77"/>
      <c r="Q29" s="77"/>
      <c r="R29" s="77"/>
    </row>
    <row r="30" spans="1:40" ht="15" hidden="1" customHeight="1" x14ac:dyDescent="0.4">
      <c r="A30" s="142" t="s">
        <v>18</v>
      </c>
      <c r="B30" s="142"/>
      <c r="C30" s="588" t="s">
        <v>14</v>
      </c>
      <c r="D30" s="588"/>
      <c r="E30" s="588"/>
      <c r="F30" s="588"/>
      <c r="P30" s="77"/>
      <c r="Q30" s="77"/>
      <c r="R30" s="77"/>
    </row>
    <row r="31" spans="1:40" ht="15" hidden="1" customHeight="1" x14ac:dyDescent="0.4">
      <c r="A31" s="142" t="s">
        <v>19</v>
      </c>
      <c r="B31" s="142"/>
      <c r="C31" s="588" t="s">
        <v>15</v>
      </c>
      <c r="D31" s="588"/>
      <c r="E31" s="588"/>
      <c r="F31" s="588"/>
      <c r="P31" s="77"/>
      <c r="Q31" s="77"/>
      <c r="R31" s="77"/>
    </row>
    <row r="32" spans="1:40" ht="35.25" customHeight="1" x14ac:dyDescent="0.4"/>
  </sheetData>
  <sheetProtection formatCells="0" formatRows="0" insertRows="0" deleteRows="0"/>
  <mergeCells count="50">
    <mergeCell ref="B18:B20"/>
    <mergeCell ref="C30:F30"/>
    <mergeCell ref="C31:F31"/>
    <mergeCell ref="A24:R24"/>
    <mergeCell ref="A25:R25"/>
    <mergeCell ref="A26:R26"/>
    <mergeCell ref="A27:F27"/>
    <mergeCell ref="C28:F28"/>
    <mergeCell ref="C29:F29"/>
    <mergeCell ref="A21:G21"/>
    <mergeCell ref="H18:H20"/>
    <mergeCell ref="I18:I20"/>
    <mergeCell ref="J18:J20"/>
    <mergeCell ref="K18:K20"/>
    <mergeCell ref="A15:A17"/>
    <mergeCell ref="B15:B17"/>
    <mergeCell ref="I16:K16"/>
    <mergeCell ref="L16:L17"/>
    <mergeCell ref="M16:M17"/>
    <mergeCell ref="R15:R17"/>
    <mergeCell ref="C16:C17"/>
    <mergeCell ref="D16:E16"/>
    <mergeCell ref="F16:F17"/>
    <mergeCell ref="G16:G17"/>
    <mergeCell ref="H16:H17"/>
    <mergeCell ref="C15:E15"/>
    <mergeCell ref="F15:G15"/>
    <mergeCell ref="H15:K15"/>
    <mergeCell ref="L15:M15"/>
    <mergeCell ref="N15:N17"/>
    <mergeCell ref="O15:O17"/>
    <mergeCell ref="P15:Q15"/>
    <mergeCell ref="P16:P17"/>
    <mergeCell ref="Q16:Q17"/>
    <mergeCell ref="A12:F12"/>
    <mergeCell ref="G12:R12"/>
    <mergeCell ref="A13:F13"/>
    <mergeCell ref="G13:R13"/>
    <mergeCell ref="A14:R14"/>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0">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AN34"/>
  <sheetViews>
    <sheetView showGridLines="0" topLeftCell="A19" zoomScale="40" zoomScaleNormal="40" zoomScaleSheetLayoutView="80" workbookViewId="0">
      <selection activeCell="J23" sqref="J23"/>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369</v>
      </c>
      <c r="H7" s="572"/>
      <c r="I7" s="572"/>
      <c r="J7" s="572"/>
      <c r="K7" s="572"/>
      <c r="L7" s="572"/>
      <c r="M7" s="572"/>
      <c r="N7" s="572"/>
      <c r="O7" s="572"/>
      <c r="P7" s="572"/>
      <c r="Q7" s="572"/>
      <c r="R7" s="572"/>
      <c r="S7" s="2" t="b">
        <f>G7='Quadro Geral'!A10</f>
        <v>1</v>
      </c>
    </row>
    <row r="8" spans="1:19" ht="54" customHeight="1" x14ac:dyDescent="0.4">
      <c r="A8" s="571" t="s">
        <v>140</v>
      </c>
      <c r="B8" s="571"/>
      <c r="C8" s="571"/>
      <c r="D8" s="571"/>
      <c r="E8" s="571"/>
      <c r="F8" s="571"/>
      <c r="G8" s="572" t="s">
        <v>644</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387</v>
      </c>
      <c r="H10" s="572"/>
      <c r="I10" s="572"/>
      <c r="J10" s="572"/>
      <c r="K10" s="572"/>
      <c r="L10" s="572"/>
      <c r="M10" s="572"/>
      <c r="N10" s="572"/>
      <c r="O10" s="572"/>
      <c r="P10" s="572"/>
      <c r="Q10" s="572"/>
      <c r="R10" s="572"/>
      <c r="S10" s="2" t="b">
        <f>G10='Quadro Geral'!E10</f>
        <v>1</v>
      </c>
    </row>
    <row r="11" spans="1:19" ht="54" customHeight="1" x14ac:dyDescent="0.4">
      <c r="A11" s="571" t="s">
        <v>154</v>
      </c>
      <c r="B11" s="571"/>
      <c r="C11" s="571"/>
      <c r="D11" s="571"/>
      <c r="E11" s="571"/>
      <c r="F11" s="571"/>
      <c r="G11" s="572" t="s">
        <v>415</v>
      </c>
      <c r="H11" s="572"/>
      <c r="I11" s="572"/>
      <c r="J11" s="572"/>
      <c r="K11" s="572"/>
      <c r="L11" s="572"/>
      <c r="M11" s="572"/>
      <c r="N11" s="572"/>
      <c r="O11" s="572"/>
      <c r="P11" s="572"/>
      <c r="Q11" s="572"/>
      <c r="R11" s="572"/>
      <c r="S11" s="2" t="b">
        <f>G11='Quadro Geral'!F10</f>
        <v>1</v>
      </c>
    </row>
    <row r="12" spans="1:19" ht="54" customHeight="1" x14ac:dyDescent="0.4">
      <c r="A12" s="571" t="s">
        <v>142</v>
      </c>
      <c r="B12" s="571"/>
      <c r="C12" s="571"/>
      <c r="D12" s="571"/>
      <c r="E12" s="571"/>
      <c r="F12" s="571"/>
      <c r="G12" s="572" t="s">
        <v>67</v>
      </c>
      <c r="H12" s="572"/>
      <c r="I12" s="572"/>
      <c r="J12" s="572"/>
      <c r="K12" s="572"/>
      <c r="L12" s="572"/>
      <c r="M12" s="572"/>
      <c r="N12" s="572"/>
      <c r="O12" s="572"/>
      <c r="P12" s="572"/>
      <c r="Q12" s="572"/>
      <c r="R12" s="572"/>
      <c r="S12" s="2" t="b">
        <f>G12='Quadro Geral'!G10</f>
        <v>1</v>
      </c>
    </row>
    <row r="13" spans="1:19" ht="54" customHeight="1" x14ac:dyDescent="0.4">
      <c r="A13" s="383" t="s">
        <v>155</v>
      </c>
      <c r="B13" s="383"/>
      <c r="C13" s="383"/>
      <c r="D13" s="383"/>
      <c r="E13" s="383"/>
      <c r="F13" s="383"/>
      <c r="G13" s="573" t="s">
        <v>443</v>
      </c>
      <c r="H13" s="573"/>
      <c r="I13" s="573"/>
      <c r="J13" s="573"/>
      <c r="K13" s="573"/>
      <c r="L13" s="573"/>
      <c r="M13" s="573"/>
      <c r="N13" s="573"/>
      <c r="O13" s="573"/>
      <c r="P13" s="573"/>
      <c r="Q13" s="573"/>
      <c r="R13" s="573"/>
      <c r="S13" s="2" t="b">
        <f>G13='Quadro Geral'!H10</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210" x14ac:dyDescent="0.25">
      <c r="A18" s="136">
        <v>1</v>
      </c>
      <c r="B18" s="585" t="s">
        <v>641</v>
      </c>
      <c r="C18" s="122" t="s">
        <v>478</v>
      </c>
      <c r="D18" s="122" t="s">
        <v>483</v>
      </c>
      <c r="E18" s="122" t="s">
        <v>488</v>
      </c>
      <c r="F18" s="123">
        <v>43466</v>
      </c>
      <c r="G18" s="123">
        <v>43830</v>
      </c>
      <c r="H18" s="600">
        <v>613117</v>
      </c>
      <c r="I18" s="600">
        <v>219820</v>
      </c>
      <c r="J18" s="600">
        <v>377071</v>
      </c>
      <c r="K18" s="603">
        <f>I18+J18</f>
        <v>596891</v>
      </c>
      <c r="L18" s="138">
        <f>K18-H18</f>
        <v>-16226</v>
      </c>
      <c r="M18" s="124">
        <f>IFERROR(L18/H18*100,0)</f>
        <v>-2.6464769367021299</v>
      </c>
      <c r="N18" s="124">
        <f>IFERROR(K18/$K$23*100,0)</f>
        <v>100</v>
      </c>
      <c r="O18" s="124" t="s">
        <v>165</v>
      </c>
      <c r="P18" s="167"/>
      <c r="Q18" s="171">
        <f>IFERROR(P18/K18*100,)</f>
        <v>0</v>
      </c>
      <c r="R18" s="122" t="s">
        <v>644</v>
      </c>
      <c r="AN18" s="2" t="s">
        <v>237</v>
      </c>
    </row>
    <row r="19" spans="1:40" ht="183.75" x14ac:dyDescent="0.4">
      <c r="A19" s="136">
        <v>2</v>
      </c>
      <c r="B19" s="586"/>
      <c r="C19" s="122" t="s">
        <v>479</v>
      </c>
      <c r="D19" s="122" t="s">
        <v>484</v>
      </c>
      <c r="E19" s="77" t="s">
        <v>489</v>
      </c>
      <c r="F19" s="123">
        <v>43466</v>
      </c>
      <c r="G19" s="123">
        <v>43830</v>
      </c>
      <c r="H19" s="601"/>
      <c r="I19" s="601"/>
      <c r="J19" s="601"/>
      <c r="K19" s="604"/>
      <c r="L19" s="138">
        <f t="shared" ref="L19:L23" si="0">K19-H19</f>
        <v>0</v>
      </c>
      <c r="M19" s="124">
        <f t="shared" ref="M19:M22" si="1">IFERROR(L19/H19*100,0)</f>
        <v>0</v>
      </c>
      <c r="N19" s="124">
        <f>IFERROR(K19/$K$23*100,0)</f>
        <v>0</v>
      </c>
      <c r="O19" s="124" t="s">
        <v>165</v>
      </c>
      <c r="P19" s="167"/>
      <c r="Q19" s="171">
        <f t="shared" ref="Q19:Q22" si="2">IFERROR(P19/K19*100,)</f>
        <v>0</v>
      </c>
      <c r="R19" s="122" t="s">
        <v>644</v>
      </c>
    </row>
    <row r="20" spans="1:40" ht="367.5" x14ac:dyDescent="0.25">
      <c r="A20" s="136">
        <v>3</v>
      </c>
      <c r="B20" s="586"/>
      <c r="C20" s="122" t="s">
        <v>480</v>
      </c>
      <c r="D20" s="122" t="s">
        <v>485</v>
      </c>
      <c r="E20" s="122" t="s">
        <v>490</v>
      </c>
      <c r="F20" s="123">
        <v>43466</v>
      </c>
      <c r="G20" s="123">
        <v>43830</v>
      </c>
      <c r="H20" s="601"/>
      <c r="I20" s="601"/>
      <c r="J20" s="601"/>
      <c r="K20" s="604"/>
      <c r="L20" s="138">
        <f t="shared" si="0"/>
        <v>0</v>
      </c>
      <c r="M20" s="124">
        <f t="shared" si="1"/>
        <v>0</v>
      </c>
      <c r="N20" s="124">
        <f>IFERROR(K20/$K$23*100,0)</f>
        <v>0</v>
      </c>
      <c r="O20" s="124" t="s">
        <v>165</v>
      </c>
      <c r="P20" s="167"/>
      <c r="Q20" s="171">
        <f t="shared" si="2"/>
        <v>0</v>
      </c>
      <c r="R20" s="122" t="s">
        <v>644</v>
      </c>
    </row>
    <row r="21" spans="1:40" ht="183.75" x14ac:dyDescent="0.25">
      <c r="A21" s="136">
        <v>4</v>
      </c>
      <c r="B21" s="586"/>
      <c r="C21" s="122" t="s">
        <v>481</v>
      </c>
      <c r="D21" s="122" t="s">
        <v>486</v>
      </c>
      <c r="E21" s="122" t="s">
        <v>491</v>
      </c>
      <c r="F21" s="123">
        <v>43466</v>
      </c>
      <c r="G21" s="123">
        <v>43830</v>
      </c>
      <c r="H21" s="601"/>
      <c r="I21" s="601"/>
      <c r="J21" s="601"/>
      <c r="K21" s="604"/>
      <c r="L21" s="138">
        <f t="shared" si="0"/>
        <v>0</v>
      </c>
      <c r="M21" s="124">
        <f t="shared" si="1"/>
        <v>0</v>
      </c>
      <c r="N21" s="124">
        <f>IFERROR(K21/$K$23*100,0)</f>
        <v>0</v>
      </c>
      <c r="O21" s="124" t="s">
        <v>165</v>
      </c>
      <c r="P21" s="167"/>
      <c r="Q21" s="171">
        <f t="shared" si="2"/>
        <v>0</v>
      </c>
      <c r="R21" s="122" t="s">
        <v>644</v>
      </c>
    </row>
    <row r="22" spans="1:40" ht="288.75" x14ac:dyDescent="0.25">
      <c r="A22" s="136">
        <v>5</v>
      </c>
      <c r="B22" s="587"/>
      <c r="C22" s="122" t="s">
        <v>482</v>
      </c>
      <c r="D22" s="122" t="s">
        <v>487</v>
      </c>
      <c r="E22" s="122" t="s">
        <v>492</v>
      </c>
      <c r="F22" s="123">
        <v>43466</v>
      </c>
      <c r="G22" s="123">
        <v>43830</v>
      </c>
      <c r="H22" s="602"/>
      <c r="I22" s="602"/>
      <c r="J22" s="602"/>
      <c r="K22" s="605"/>
      <c r="L22" s="138">
        <f t="shared" si="0"/>
        <v>0</v>
      </c>
      <c r="M22" s="124">
        <f t="shared" si="1"/>
        <v>0</v>
      </c>
      <c r="N22" s="124">
        <f>IFERROR(K22/$K$23*100,0)</f>
        <v>0</v>
      </c>
      <c r="O22" s="124" t="s">
        <v>165</v>
      </c>
      <c r="P22" s="167"/>
      <c r="Q22" s="171">
        <f t="shared" si="2"/>
        <v>0</v>
      </c>
      <c r="R22" s="122" t="s">
        <v>644</v>
      </c>
    </row>
    <row r="23" spans="1:40" s="3" customFormat="1" ht="24.75" customHeight="1" x14ac:dyDescent="0.4">
      <c r="A23" s="597" t="s">
        <v>3</v>
      </c>
      <c r="B23" s="598"/>
      <c r="C23" s="598"/>
      <c r="D23" s="598"/>
      <c r="E23" s="598"/>
      <c r="F23" s="598"/>
      <c r="G23" s="599"/>
      <c r="H23" s="139">
        <f>SUM(H18:H22)</f>
        <v>613117</v>
      </c>
      <c r="I23" s="139">
        <f>SUM(I18:I22)</f>
        <v>219820</v>
      </c>
      <c r="J23" s="139">
        <f>SUM(J18:J22)</f>
        <v>377071</v>
      </c>
      <c r="K23" s="139">
        <f>SUM(K18:K22)</f>
        <v>596891</v>
      </c>
      <c r="L23" s="169">
        <f t="shared" si="0"/>
        <v>-16226</v>
      </c>
      <c r="M23" s="170">
        <f>IFERROR(L23/H23*100,0)</f>
        <v>-2.6464769367021299</v>
      </c>
      <c r="N23" s="170">
        <f>SUM(N18:N22)</f>
        <v>100</v>
      </c>
      <c r="O23" s="170"/>
      <c r="P23" s="168">
        <f>SUM(P18:P22)</f>
        <v>0</v>
      </c>
      <c r="Q23" s="140">
        <f>IFERROR(P23/K23*100,)</f>
        <v>0</v>
      </c>
      <c r="R23" s="140"/>
    </row>
    <row r="24" spans="1:40" s="3" customFormat="1" ht="24.75" customHeight="1" x14ac:dyDescent="0.4">
      <c r="A24" s="298"/>
      <c r="B24" s="298"/>
      <c r="C24" s="298"/>
      <c r="D24" s="298"/>
      <c r="E24" s="298"/>
      <c r="F24" s="298"/>
      <c r="G24" s="298"/>
      <c r="H24" s="298"/>
      <c r="I24" s="298"/>
      <c r="J24" s="298"/>
      <c r="K24" s="298"/>
      <c r="L24" s="299"/>
      <c r="M24" s="300"/>
      <c r="N24" s="300"/>
      <c r="O24" s="300"/>
      <c r="P24" s="301"/>
      <c r="Q24" s="302"/>
      <c r="R24" s="302"/>
    </row>
    <row r="25" spans="1:40" s="3" customFormat="1" ht="24.75" customHeight="1" x14ac:dyDescent="0.4">
      <c r="A25" s="298"/>
      <c r="B25" s="298"/>
      <c r="C25" s="298"/>
      <c r="D25" s="298"/>
      <c r="E25" s="298"/>
      <c r="F25" s="298"/>
      <c r="G25" s="298"/>
      <c r="H25" s="298"/>
      <c r="I25" s="298"/>
      <c r="J25" s="298"/>
      <c r="K25" s="298"/>
      <c r="L25" s="299"/>
      <c r="M25" s="300"/>
      <c r="N25" s="300"/>
      <c r="O25" s="300"/>
      <c r="P25" s="301"/>
      <c r="Q25" s="302"/>
      <c r="R25" s="302"/>
    </row>
    <row r="26" spans="1:40" x14ac:dyDescent="0.4">
      <c r="A26" s="589" t="s">
        <v>116</v>
      </c>
      <c r="B26" s="589"/>
      <c r="C26" s="589"/>
      <c r="D26" s="589"/>
      <c r="E26" s="589"/>
      <c r="F26" s="589"/>
      <c r="G26" s="589"/>
      <c r="H26" s="589"/>
      <c r="I26" s="589"/>
      <c r="J26" s="589"/>
      <c r="K26" s="589"/>
      <c r="L26" s="589"/>
      <c r="M26" s="589"/>
      <c r="N26" s="589"/>
      <c r="O26" s="589"/>
      <c r="P26" s="589"/>
      <c r="Q26" s="589"/>
      <c r="R26" s="589"/>
    </row>
    <row r="27" spans="1:40" ht="36" customHeight="1" x14ac:dyDescent="0.25">
      <c r="A27" s="590" t="s">
        <v>179</v>
      </c>
      <c r="B27" s="591"/>
      <c r="C27" s="591"/>
      <c r="D27" s="591"/>
      <c r="E27" s="591"/>
      <c r="F27" s="591"/>
      <c r="G27" s="591"/>
      <c r="H27" s="591"/>
      <c r="I27" s="591"/>
      <c r="J27" s="591"/>
      <c r="K27" s="591"/>
      <c r="L27" s="591"/>
      <c r="M27" s="591"/>
      <c r="N27" s="591"/>
      <c r="O27" s="591"/>
      <c r="P27" s="591"/>
      <c r="Q27" s="591"/>
      <c r="R27" s="592"/>
    </row>
    <row r="28" spans="1:40" ht="95.25" customHeight="1" x14ac:dyDescent="0.4">
      <c r="A28" s="593"/>
      <c r="B28" s="594"/>
      <c r="C28" s="594"/>
      <c r="D28" s="594"/>
      <c r="E28" s="594"/>
      <c r="F28" s="594"/>
      <c r="G28" s="594"/>
      <c r="H28" s="594"/>
      <c r="I28" s="594"/>
      <c r="J28" s="594"/>
      <c r="K28" s="594"/>
      <c r="L28" s="594"/>
      <c r="M28" s="594"/>
      <c r="N28" s="594"/>
      <c r="O28" s="594"/>
      <c r="P28" s="594"/>
      <c r="Q28" s="594"/>
      <c r="R28" s="595"/>
    </row>
    <row r="29" spans="1:40" ht="15" hidden="1" customHeight="1" x14ac:dyDescent="0.4">
      <c r="A29" s="596" t="s">
        <v>12</v>
      </c>
      <c r="B29" s="596"/>
      <c r="C29" s="596"/>
      <c r="D29" s="596"/>
      <c r="E29" s="596"/>
      <c r="F29" s="596"/>
      <c r="G29" s="141"/>
      <c r="H29" s="141"/>
      <c r="I29" s="141"/>
      <c r="J29" s="141"/>
      <c r="K29" s="141"/>
      <c r="L29" s="141"/>
      <c r="M29" s="141"/>
      <c r="N29" s="141"/>
      <c r="O29" s="141"/>
      <c r="P29" s="141"/>
      <c r="Q29" s="141"/>
      <c r="R29" s="141"/>
    </row>
    <row r="30" spans="1:40" ht="15" hidden="1" customHeight="1" x14ac:dyDescent="0.4">
      <c r="A30" s="142" t="s">
        <v>16</v>
      </c>
      <c r="B30" s="142"/>
      <c r="C30" s="588" t="s">
        <v>20</v>
      </c>
      <c r="D30" s="588"/>
      <c r="E30" s="588"/>
      <c r="F30" s="588"/>
      <c r="P30" s="77"/>
      <c r="Q30" s="77"/>
      <c r="R30" s="77"/>
    </row>
    <row r="31" spans="1:40" ht="15" hidden="1" customHeight="1" x14ac:dyDescent="0.4">
      <c r="A31" s="142" t="s">
        <v>17</v>
      </c>
      <c r="B31" s="142"/>
      <c r="C31" s="588" t="s">
        <v>13</v>
      </c>
      <c r="D31" s="588"/>
      <c r="E31" s="588"/>
      <c r="F31" s="588"/>
      <c r="P31" s="77"/>
      <c r="Q31" s="77"/>
      <c r="R31" s="77"/>
    </row>
    <row r="32" spans="1:40" ht="15" hidden="1" customHeight="1" x14ac:dyDescent="0.4">
      <c r="A32" s="142" t="s">
        <v>18</v>
      </c>
      <c r="B32" s="142"/>
      <c r="C32" s="588" t="s">
        <v>14</v>
      </c>
      <c r="D32" s="588"/>
      <c r="E32" s="588"/>
      <c r="F32" s="588"/>
      <c r="P32" s="77"/>
      <c r="Q32" s="77"/>
      <c r="R32" s="77"/>
    </row>
    <row r="33" spans="1:18" ht="15" hidden="1" customHeight="1" x14ac:dyDescent="0.4">
      <c r="A33" s="142" t="s">
        <v>19</v>
      </c>
      <c r="B33" s="142"/>
      <c r="C33" s="588" t="s">
        <v>15</v>
      </c>
      <c r="D33" s="588"/>
      <c r="E33" s="588"/>
      <c r="F33" s="588"/>
      <c r="P33" s="77"/>
      <c r="Q33" s="77"/>
      <c r="R33" s="77"/>
    </row>
    <row r="34" spans="1:18" ht="35.25" customHeight="1" x14ac:dyDescent="0.4"/>
  </sheetData>
  <sheetProtection formatCells="0" formatRows="0" insertRows="0" deleteRows="0"/>
  <mergeCells count="50">
    <mergeCell ref="C32:F32"/>
    <mergeCell ref="C33:F33"/>
    <mergeCell ref="H18:H22"/>
    <mergeCell ref="A26:R26"/>
    <mergeCell ref="A27:R27"/>
    <mergeCell ref="A28:R28"/>
    <mergeCell ref="A29:F29"/>
    <mergeCell ref="C30:F30"/>
    <mergeCell ref="C31:F31"/>
    <mergeCell ref="A23:G23"/>
    <mergeCell ref="I18:I22"/>
    <mergeCell ref="J18:J22"/>
    <mergeCell ref="K18:K22"/>
    <mergeCell ref="B18:B22"/>
    <mergeCell ref="L15:M15"/>
    <mergeCell ref="N15:N17"/>
    <mergeCell ref="O15:O17"/>
    <mergeCell ref="P15:Q15"/>
    <mergeCell ref="R15:R17"/>
    <mergeCell ref="L16:L17"/>
    <mergeCell ref="M16:M17"/>
    <mergeCell ref="P16:P17"/>
    <mergeCell ref="Q16:Q17"/>
    <mergeCell ref="A12:F12"/>
    <mergeCell ref="G12:R12"/>
    <mergeCell ref="A13:F13"/>
    <mergeCell ref="G13:R13"/>
    <mergeCell ref="A14:R14"/>
    <mergeCell ref="A15:A17"/>
    <mergeCell ref="B15:B17"/>
    <mergeCell ref="C15:E15"/>
    <mergeCell ref="F15:G15"/>
    <mergeCell ref="H15:K15"/>
    <mergeCell ref="C16:C17"/>
    <mergeCell ref="D16:E16"/>
    <mergeCell ref="F16:F17"/>
    <mergeCell ref="G16:G17"/>
    <mergeCell ref="H16:H17"/>
    <mergeCell ref="I16:K16"/>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2">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3"/>
  <sheetViews>
    <sheetView showGridLines="0" tabSelected="1" topLeftCell="A10" zoomScale="40" zoomScaleNormal="40" zoomScaleSheetLayoutView="80" workbookViewId="0">
      <selection activeCell="I24" sqref="I24"/>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370</v>
      </c>
      <c r="H7" s="572"/>
      <c r="I7" s="572"/>
      <c r="J7" s="572"/>
      <c r="K7" s="572"/>
      <c r="L7" s="572"/>
      <c r="M7" s="572"/>
      <c r="N7" s="572"/>
      <c r="O7" s="572"/>
      <c r="P7" s="572"/>
      <c r="Q7" s="572"/>
      <c r="R7" s="572"/>
      <c r="S7" s="2" t="b">
        <f>G7='Quadro Geral'!A11</f>
        <v>1</v>
      </c>
    </row>
    <row r="8" spans="1:19" ht="54" customHeight="1" x14ac:dyDescent="0.4">
      <c r="A8" s="571" t="s">
        <v>140</v>
      </c>
      <c r="B8" s="571"/>
      <c r="C8" s="571"/>
      <c r="D8" s="571"/>
      <c r="E8" s="571"/>
      <c r="F8" s="571"/>
      <c r="G8" s="572" t="s">
        <v>645</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388</v>
      </c>
      <c r="H10" s="572"/>
      <c r="I10" s="572"/>
      <c r="J10" s="572"/>
      <c r="K10" s="572"/>
      <c r="L10" s="572"/>
      <c r="M10" s="572"/>
      <c r="N10" s="572"/>
      <c r="O10" s="572"/>
      <c r="P10" s="572"/>
      <c r="Q10" s="572"/>
      <c r="R10" s="572"/>
      <c r="S10" s="2" t="b">
        <f>G10='Quadro Geral'!E11</f>
        <v>1</v>
      </c>
    </row>
    <row r="11" spans="1:19" ht="54" customHeight="1" x14ac:dyDescent="0.4">
      <c r="A11" s="571" t="s">
        <v>154</v>
      </c>
      <c r="B11" s="571"/>
      <c r="C11" s="571"/>
      <c r="D11" s="571"/>
      <c r="E11" s="571"/>
      <c r="F11" s="571"/>
      <c r="G11" s="572" t="s">
        <v>416</v>
      </c>
      <c r="H11" s="572"/>
      <c r="I11" s="572"/>
      <c r="J11" s="572"/>
      <c r="K11" s="572"/>
      <c r="L11" s="572"/>
      <c r="M11" s="572"/>
      <c r="N11" s="572"/>
      <c r="O11" s="572"/>
      <c r="P11" s="572"/>
      <c r="Q11" s="572"/>
      <c r="R11" s="572"/>
      <c r="S11" s="2" t="b">
        <f>G11='Quadro Geral'!F11</f>
        <v>1</v>
      </c>
    </row>
    <row r="12" spans="1:19" ht="54" customHeight="1" x14ac:dyDescent="0.4">
      <c r="A12" s="571" t="s">
        <v>142</v>
      </c>
      <c r="B12" s="571"/>
      <c r="C12" s="571"/>
      <c r="D12" s="571"/>
      <c r="E12" s="571"/>
      <c r="F12" s="571"/>
      <c r="G12" s="572" t="s">
        <v>71</v>
      </c>
      <c r="H12" s="572"/>
      <c r="I12" s="572"/>
      <c r="J12" s="572"/>
      <c r="K12" s="572"/>
      <c r="L12" s="572"/>
      <c r="M12" s="572"/>
      <c r="N12" s="572"/>
      <c r="O12" s="572"/>
      <c r="P12" s="572"/>
      <c r="Q12" s="572"/>
      <c r="R12" s="572"/>
      <c r="S12" s="2" t="b">
        <f>G12='Quadro Geral'!G11</f>
        <v>1</v>
      </c>
    </row>
    <row r="13" spans="1:19" ht="54" customHeight="1" x14ac:dyDescent="0.4">
      <c r="A13" s="383" t="s">
        <v>155</v>
      </c>
      <c r="B13" s="383"/>
      <c r="C13" s="383"/>
      <c r="D13" s="383"/>
      <c r="E13" s="383"/>
      <c r="F13" s="383"/>
      <c r="G13" s="573" t="s">
        <v>444</v>
      </c>
      <c r="H13" s="573"/>
      <c r="I13" s="573"/>
      <c r="J13" s="573"/>
      <c r="K13" s="573"/>
      <c r="L13" s="573"/>
      <c r="M13" s="573"/>
      <c r="N13" s="573"/>
      <c r="O13" s="573"/>
      <c r="P13" s="573"/>
      <c r="Q13" s="573"/>
      <c r="R13" s="573"/>
      <c r="S13" s="2" t="b">
        <f>G13='Quadro Geral'!H11</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83.75" x14ac:dyDescent="0.25">
      <c r="A18" s="136">
        <v>1</v>
      </c>
      <c r="B18" s="585" t="s">
        <v>641</v>
      </c>
      <c r="C18" s="136" t="s">
        <v>493</v>
      </c>
      <c r="D18" s="136" t="s">
        <v>497</v>
      </c>
      <c r="E18" s="136" t="s">
        <v>501</v>
      </c>
      <c r="F18" s="123">
        <v>43466</v>
      </c>
      <c r="G18" s="123">
        <v>43830</v>
      </c>
      <c r="H18" s="600">
        <v>205123</v>
      </c>
      <c r="I18" s="600">
        <v>65533</v>
      </c>
      <c r="J18" s="600">
        <v>147370</v>
      </c>
      <c r="K18" s="603">
        <f>I18+J18</f>
        <v>212903</v>
      </c>
      <c r="L18" s="138">
        <f>K18-H18</f>
        <v>7780</v>
      </c>
      <c r="M18" s="124">
        <f>IFERROR(L18/H18*100,0)</f>
        <v>3.792846243473428</v>
      </c>
      <c r="N18" s="124">
        <f>IFERROR(K18/$K$22*100,0)</f>
        <v>100</v>
      </c>
      <c r="O18" s="124" t="s">
        <v>165</v>
      </c>
      <c r="P18" s="167"/>
      <c r="Q18" s="171">
        <f>IFERROR(P18/K18*100,)</f>
        <v>0</v>
      </c>
      <c r="R18" s="122" t="s">
        <v>645</v>
      </c>
      <c r="AN18" s="2" t="s">
        <v>237</v>
      </c>
    </row>
    <row r="19" spans="1:40" ht="183.75" x14ac:dyDescent="0.25">
      <c r="A19" s="136">
        <v>2</v>
      </c>
      <c r="B19" s="586"/>
      <c r="C19" s="136" t="s">
        <v>494</v>
      </c>
      <c r="D19" s="224" t="s">
        <v>498</v>
      </c>
      <c r="E19" s="136" t="s">
        <v>502</v>
      </c>
      <c r="F19" s="123">
        <v>43466</v>
      </c>
      <c r="G19" s="123">
        <v>43830</v>
      </c>
      <c r="H19" s="601"/>
      <c r="I19" s="601"/>
      <c r="J19" s="601"/>
      <c r="K19" s="604"/>
      <c r="L19" s="138">
        <f t="shared" ref="L19:L22" si="0">K19-H19</f>
        <v>0</v>
      </c>
      <c r="M19" s="124">
        <f t="shared" ref="M19:M21" si="1">IFERROR(L19/H19*100,0)</f>
        <v>0</v>
      </c>
      <c r="N19" s="124">
        <f>IFERROR(K19/$K$22*100,0)</f>
        <v>0</v>
      </c>
      <c r="O19" s="124" t="s">
        <v>165</v>
      </c>
      <c r="P19" s="167"/>
      <c r="Q19" s="171">
        <f t="shared" ref="Q19:Q21" si="2">IFERROR(P19/K19*100,)</f>
        <v>0</v>
      </c>
      <c r="R19" s="122" t="s">
        <v>645</v>
      </c>
    </row>
    <row r="20" spans="1:40" ht="367.5" x14ac:dyDescent="0.25">
      <c r="A20" s="136">
        <v>3</v>
      </c>
      <c r="B20" s="586"/>
      <c r="C20" s="136" t="s">
        <v>495</v>
      </c>
      <c r="D20" s="224" t="s">
        <v>499</v>
      </c>
      <c r="E20" s="136" t="s">
        <v>503</v>
      </c>
      <c r="F20" s="123">
        <v>43466</v>
      </c>
      <c r="G20" s="123">
        <v>43830</v>
      </c>
      <c r="H20" s="601"/>
      <c r="I20" s="601"/>
      <c r="J20" s="601"/>
      <c r="K20" s="604"/>
      <c r="L20" s="138">
        <f t="shared" si="0"/>
        <v>0</v>
      </c>
      <c r="M20" s="124">
        <f t="shared" si="1"/>
        <v>0</v>
      </c>
      <c r="N20" s="124">
        <f>IFERROR(K20/$K$22*100,0)</f>
        <v>0</v>
      </c>
      <c r="O20" s="124" t="s">
        <v>165</v>
      </c>
      <c r="P20" s="167"/>
      <c r="Q20" s="171">
        <f t="shared" si="2"/>
        <v>0</v>
      </c>
      <c r="R20" s="122" t="s">
        <v>645</v>
      </c>
    </row>
    <row r="21" spans="1:40" ht="210" x14ac:dyDescent="0.25">
      <c r="A21" s="136">
        <v>4</v>
      </c>
      <c r="B21" s="587"/>
      <c r="C21" s="136" t="s">
        <v>496</v>
      </c>
      <c r="D21" s="224" t="s">
        <v>500</v>
      </c>
      <c r="E21" s="136" t="s">
        <v>504</v>
      </c>
      <c r="F21" s="123">
        <v>43466</v>
      </c>
      <c r="G21" s="123">
        <v>43830</v>
      </c>
      <c r="H21" s="602"/>
      <c r="I21" s="602"/>
      <c r="J21" s="602"/>
      <c r="K21" s="605"/>
      <c r="L21" s="138">
        <f t="shared" si="0"/>
        <v>0</v>
      </c>
      <c r="M21" s="124">
        <f t="shared" si="1"/>
        <v>0</v>
      </c>
      <c r="N21" s="124">
        <f>IFERROR(K21/$K$22*100,0)</f>
        <v>0</v>
      </c>
      <c r="O21" s="124" t="s">
        <v>165</v>
      </c>
      <c r="P21" s="167"/>
      <c r="Q21" s="171">
        <f t="shared" si="2"/>
        <v>0</v>
      </c>
      <c r="R21" s="122" t="s">
        <v>645</v>
      </c>
    </row>
    <row r="22" spans="1:40" s="3" customFormat="1" ht="24.75" customHeight="1" x14ac:dyDescent="0.4">
      <c r="A22" s="597" t="s">
        <v>3</v>
      </c>
      <c r="B22" s="598"/>
      <c r="C22" s="598"/>
      <c r="D22" s="598"/>
      <c r="E22" s="598"/>
      <c r="F22" s="598"/>
      <c r="G22" s="599"/>
      <c r="H22" s="169">
        <f>SUM(H18:H21)</f>
        <v>205123</v>
      </c>
      <c r="I22" s="169">
        <f>SUM(I18:I21)</f>
        <v>65533</v>
      </c>
      <c r="J22" s="169">
        <f>SUM(J18:J21)</f>
        <v>147370</v>
      </c>
      <c r="K22" s="169">
        <f>SUM(K18:K21)</f>
        <v>212903</v>
      </c>
      <c r="L22" s="169">
        <f t="shared" si="0"/>
        <v>7780</v>
      </c>
      <c r="M22" s="170">
        <f>IFERROR(L22/H22*100,0)</f>
        <v>3.792846243473428</v>
      </c>
      <c r="N22" s="170">
        <f>SUM(N18:N21)</f>
        <v>100</v>
      </c>
      <c r="O22" s="170"/>
      <c r="P22" s="168">
        <f>SUM(P18:P21)</f>
        <v>0</v>
      </c>
      <c r="Q22" s="140">
        <f>IFERROR(P22/K22*100,)</f>
        <v>0</v>
      </c>
      <c r="R22" s="140"/>
    </row>
    <row r="23" spans="1:40" s="3" customFormat="1" ht="24.75" customHeight="1" x14ac:dyDescent="0.4">
      <c r="A23" s="298"/>
      <c r="B23" s="298"/>
      <c r="C23" s="298"/>
      <c r="D23" s="298"/>
      <c r="E23" s="298"/>
      <c r="F23" s="298"/>
      <c r="G23" s="298"/>
      <c r="H23" s="298"/>
      <c r="I23" s="298"/>
      <c r="J23" s="298"/>
      <c r="K23" s="298"/>
      <c r="L23" s="299"/>
      <c r="M23" s="300"/>
      <c r="N23" s="300"/>
      <c r="O23" s="300"/>
      <c r="P23" s="301"/>
      <c r="Q23" s="302"/>
      <c r="R23" s="302"/>
    </row>
    <row r="24" spans="1:40" s="3" customFormat="1" ht="24.75" customHeight="1" x14ac:dyDescent="0.4">
      <c r="A24" s="298"/>
      <c r="B24" s="298"/>
      <c r="C24" s="298"/>
      <c r="D24" s="298"/>
      <c r="E24" s="298"/>
      <c r="F24" s="298"/>
      <c r="G24" s="298"/>
      <c r="H24" s="298"/>
      <c r="I24" s="298"/>
      <c r="J24" s="298"/>
      <c r="K24" s="298"/>
      <c r="L24" s="299"/>
      <c r="M24" s="300"/>
      <c r="N24" s="300"/>
      <c r="O24" s="300"/>
      <c r="P24" s="301"/>
      <c r="Q24" s="302"/>
      <c r="R24" s="302"/>
    </row>
    <row r="25" spans="1:40" x14ac:dyDescent="0.4">
      <c r="A25" s="589" t="s">
        <v>116</v>
      </c>
      <c r="B25" s="589"/>
      <c r="C25" s="589"/>
      <c r="D25" s="589"/>
      <c r="E25" s="589"/>
      <c r="F25" s="589"/>
      <c r="G25" s="589"/>
      <c r="H25" s="589"/>
      <c r="I25" s="589"/>
      <c r="J25" s="589"/>
      <c r="K25" s="589"/>
      <c r="L25" s="589"/>
      <c r="M25" s="589"/>
      <c r="N25" s="589"/>
      <c r="O25" s="589"/>
      <c r="P25" s="589"/>
      <c r="Q25" s="589"/>
      <c r="R25" s="589"/>
    </row>
    <row r="26" spans="1:40" ht="36" customHeight="1" x14ac:dyDescent="0.25">
      <c r="A26" s="590" t="s">
        <v>179</v>
      </c>
      <c r="B26" s="591"/>
      <c r="C26" s="591"/>
      <c r="D26" s="591"/>
      <c r="E26" s="591"/>
      <c r="F26" s="591"/>
      <c r="G26" s="591"/>
      <c r="H26" s="591"/>
      <c r="I26" s="591"/>
      <c r="J26" s="591"/>
      <c r="K26" s="591"/>
      <c r="L26" s="591"/>
      <c r="M26" s="591"/>
      <c r="N26" s="591"/>
      <c r="O26" s="591"/>
      <c r="P26" s="591"/>
      <c r="Q26" s="591"/>
      <c r="R26" s="592"/>
    </row>
    <row r="27" spans="1:40" ht="95.25" customHeight="1" x14ac:dyDescent="0.4">
      <c r="A27" s="593"/>
      <c r="B27" s="594"/>
      <c r="C27" s="594"/>
      <c r="D27" s="594"/>
      <c r="E27" s="594"/>
      <c r="F27" s="594"/>
      <c r="G27" s="594"/>
      <c r="H27" s="594"/>
      <c r="I27" s="594"/>
      <c r="J27" s="594"/>
      <c r="K27" s="594"/>
      <c r="L27" s="594"/>
      <c r="M27" s="594"/>
      <c r="N27" s="594"/>
      <c r="O27" s="594"/>
      <c r="P27" s="594"/>
      <c r="Q27" s="594"/>
      <c r="R27" s="595"/>
    </row>
    <row r="28" spans="1:40" ht="15" hidden="1" customHeight="1" x14ac:dyDescent="0.4">
      <c r="A28" s="596" t="s">
        <v>12</v>
      </c>
      <c r="B28" s="596"/>
      <c r="C28" s="596"/>
      <c r="D28" s="596"/>
      <c r="E28" s="596"/>
      <c r="F28" s="596"/>
      <c r="G28" s="141"/>
      <c r="H28" s="141"/>
      <c r="I28" s="141"/>
      <c r="J28" s="141"/>
      <c r="K28" s="141"/>
      <c r="L28" s="141"/>
      <c r="M28" s="141"/>
      <c r="N28" s="141"/>
      <c r="O28" s="141"/>
      <c r="P28" s="141"/>
      <c r="Q28" s="141"/>
      <c r="R28" s="141"/>
    </row>
    <row r="29" spans="1:40" ht="15" hidden="1" customHeight="1" x14ac:dyDescent="0.4">
      <c r="A29" s="142" t="s">
        <v>16</v>
      </c>
      <c r="B29" s="142"/>
      <c r="C29" s="588" t="s">
        <v>20</v>
      </c>
      <c r="D29" s="588"/>
      <c r="E29" s="588"/>
      <c r="F29" s="588"/>
      <c r="P29" s="77"/>
      <c r="Q29" s="77"/>
      <c r="R29" s="77"/>
    </row>
    <row r="30" spans="1:40" ht="15" hidden="1" customHeight="1" x14ac:dyDescent="0.4">
      <c r="A30" s="142" t="s">
        <v>17</v>
      </c>
      <c r="B30" s="142"/>
      <c r="C30" s="588" t="s">
        <v>13</v>
      </c>
      <c r="D30" s="588"/>
      <c r="E30" s="588"/>
      <c r="F30" s="588"/>
      <c r="P30" s="77"/>
      <c r="Q30" s="77"/>
      <c r="R30" s="77"/>
    </row>
    <row r="31" spans="1:40" ht="15" hidden="1" customHeight="1" x14ac:dyDescent="0.4">
      <c r="A31" s="142" t="s">
        <v>18</v>
      </c>
      <c r="B31" s="142"/>
      <c r="C31" s="588" t="s">
        <v>14</v>
      </c>
      <c r="D31" s="588"/>
      <c r="E31" s="588"/>
      <c r="F31" s="588"/>
      <c r="P31" s="77"/>
      <c r="Q31" s="77"/>
      <c r="R31" s="77"/>
    </row>
    <row r="32" spans="1:40" ht="15" hidden="1" customHeight="1" x14ac:dyDescent="0.4">
      <c r="A32" s="142" t="s">
        <v>19</v>
      </c>
      <c r="B32" s="142"/>
      <c r="C32" s="588" t="s">
        <v>15</v>
      </c>
      <c r="D32" s="588"/>
      <c r="E32" s="588"/>
      <c r="F32" s="588"/>
      <c r="P32" s="77"/>
      <c r="Q32" s="77"/>
      <c r="R32" s="77"/>
    </row>
    <row r="33" ht="35.25" customHeight="1" x14ac:dyDescent="0.4"/>
  </sheetData>
  <sheetProtection formatCells="0" formatRows="0" insertRows="0" deleteRows="0"/>
  <mergeCells count="50">
    <mergeCell ref="C31:F31"/>
    <mergeCell ref="C32:F32"/>
    <mergeCell ref="H18:H21"/>
    <mergeCell ref="A25:R25"/>
    <mergeCell ref="A26:R26"/>
    <mergeCell ref="A27:R27"/>
    <mergeCell ref="A28:F28"/>
    <mergeCell ref="C29:F29"/>
    <mergeCell ref="C30:F30"/>
    <mergeCell ref="A22:G22"/>
    <mergeCell ref="I18:I21"/>
    <mergeCell ref="J18:J21"/>
    <mergeCell ref="K18:K21"/>
    <mergeCell ref="B18:B21"/>
    <mergeCell ref="L15:M15"/>
    <mergeCell ref="N15:N17"/>
    <mergeCell ref="O15:O17"/>
    <mergeCell ref="P15:Q15"/>
    <mergeCell ref="R15:R17"/>
    <mergeCell ref="L16:L17"/>
    <mergeCell ref="M16:M17"/>
    <mergeCell ref="P16:P17"/>
    <mergeCell ref="Q16:Q17"/>
    <mergeCell ref="A12:F12"/>
    <mergeCell ref="G12:R12"/>
    <mergeCell ref="A13:F13"/>
    <mergeCell ref="G13:R13"/>
    <mergeCell ref="A14:R14"/>
    <mergeCell ref="A15:A17"/>
    <mergeCell ref="B15:B17"/>
    <mergeCell ref="C15:E15"/>
    <mergeCell ref="F15:G15"/>
    <mergeCell ref="H15:K15"/>
    <mergeCell ref="C16:C17"/>
    <mergeCell ref="D16:E16"/>
    <mergeCell ref="F16:F17"/>
    <mergeCell ref="G16:G17"/>
    <mergeCell ref="H16:H17"/>
    <mergeCell ref="I16:K16"/>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1">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AN40"/>
  <sheetViews>
    <sheetView showGridLines="0" topLeftCell="A24" zoomScale="40" zoomScaleNormal="40" zoomScaleSheetLayoutView="80" workbookViewId="0">
      <selection activeCell="F30" sqref="F30"/>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371</v>
      </c>
      <c r="H7" s="572"/>
      <c r="I7" s="572"/>
      <c r="J7" s="572"/>
      <c r="K7" s="572"/>
      <c r="L7" s="572"/>
      <c r="M7" s="572"/>
      <c r="N7" s="572"/>
      <c r="O7" s="572"/>
      <c r="P7" s="572"/>
      <c r="Q7" s="572"/>
      <c r="R7" s="572"/>
      <c r="S7" s="2" t="b">
        <f>G7='Quadro Geral'!A12</f>
        <v>1</v>
      </c>
    </row>
    <row r="8" spans="1:19" ht="54" customHeight="1" x14ac:dyDescent="0.4">
      <c r="A8" s="571" t="s">
        <v>140</v>
      </c>
      <c r="B8" s="571"/>
      <c r="C8" s="571"/>
      <c r="D8" s="571"/>
      <c r="E8" s="571"/>
      <c r="F8" s="571"/>
      <c r="G8" s="572" t="s">
        <v>692</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389</v>
      </c>
      <c r="H10" s="572"/>
      <c r="I10" s="572"/>
      <c r="J10" s="572"/>
      <c r="K10" s="572"/>
      <c r="L10" s="572"/>
      <c r="M10" s="572"/>
      <c r="N10" s="572"/>
      <c r="O10" s="572"/>
      <c r="P10" s="572"/>
      <c r="Q10" s="572"/>
      <c r="R10" s="572"/>
      <c r="S10" s="2" t="b">
        <f>G10='Quadro Geral'!E12</f>
        <v>1</v>
      </c>
    </row>
    <row r="11" spans="1:19" ht="54" customHeight="1" x14ac:dyDescent="0.4">
      <c r="A11" s="571" t="s">
        <v>154</v>
      </c>
      <c r="B11" s="571"/>
      <c r="C11" s="571"/>
      <c r="D11" s="571"/>
      <c r="E11" s="571"/>
      <c r="F11" s="571"/>
      <c r="G11" s="572" t="s">
        <v>417</v>
      </c>
      <c r="H11" s="572"/>
      <c r="I11" s="572"/>
      <c r="J11" s="572"/>
      <c r="K11" s="572"/>
      <c r="L11" s="572"/>
      <c r="M11" s="572"/>
      <c r="N11" s="572"/>
      <c r="O11" s="572"/>
      <c r="P11" s="572"/>
      <c r="Q11" s="572"/>
      <c r="R11" s="572"/>
      <c r="S11" s="2" t="b">
        <f>G11='Quadro Geral'!F12</f>
        <v>1</v>
      </c>
    </row>
    <row r="12" spans="1:19" ht="54" customHeight="1" x14ac:dyDescent="0.4">
      <c r="A12" s="571" t="s">
        <v>142</v>
      </c>
      <c r="B12" s="571"/>
      <c r="C12" s="571"/>
      <c r="D12" s="571"/>
      <c r="E12" s="571"/>
      <c r="F12" s="571"/>
      <c r="G12" s="572" t="s">
        <v>53</v>
      </c>
      <c r="H12" s="572"/>
      <c r="I12" s="572"/>
      <c r="J12" s="572"/>
      <c r="K12" s="572"/>
      <c r="L12" s="572"/>
      <c r="M12" s="572"/>
      <c r="N12" s="572"/>
      <c r="O12" s="572"/>
      <c r="P12" s="572"/>
      <c r="Q12" s="572"/>
      <c r="R12" s="572"/>
      <c r="S12" s="2" t="b">
        <f>G12='Quadro Geral'!G12</f>
        <v>1</v>
      </c>
    </row>
    <row r="13" spans="1:19" ht="54" customHeight="1" x14ac:dyDescent="0.4">
      <c r="A13" s="383" t="s">
        <v>155</v>
      </c>
      <c r="B13" s="383"/>
      <c r="C13" s="383"/>
      <c r="D13" s="383"/>
      <c r="E13" s="383"/>
      <c r="F13" s="383"/>
      <c r="G13" s="573" t="s">
        <v>445</v>
      </c>
      <c r="H13" s="573"/>
      <c r="I13" s="573"/>
      <c r="J13" s="573"/>
      <c r="K13" s="573"/>
      <c r="L13" s="573"/>
      <c r="M13" s="573"/>
      <c r="N13" s="573"/>
      <c r="O13" s="573"/>
      <c r="P13" s="573"/>
      <c r="Q13" s="573"/>
      <c r="R13" s="573"/>
      <c r="S13" s="2" t="b">
        <f>G13='Quadro Geral'!H12</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78.75" x14ac:dyDescent="0.25">
      <c r="A18" s="585">
        <v>1</v>
      </c>
      <c r="B18" s="585" t="s">
        <v>641</v>
      </c>
      <c r="C18" s="585" t="s">
        <v>665</v>
      </c>
      <c r="D18" s="136" t="s">
        <v>670</v>
      </c>
      <c r="E18" s="136" t="s">
        <v>679</v>
      </c>
      <c r="F18" s="123">
        <v>43466</v>
      </c>
      <c r="G18" s="123">
        <v>43830</v>
      </c>
      <c r="H18" s="600">
        <v>160809</v>
      </c>
      <c r="I18" s="600">
        <v>37242</v>
      </c>
      <c r="J18" s="600">
        <v>44509</v>
      </c>
      <c r="K18" s="603">
        <f>I18+J18</f>
        <v>81751</v>
      </c>
      <c r="L18" s="138">
        <f>K18-H18</f>
        <v>-79058</v>
      </c>
      <c r="M18" s="124">
        <f>IFERROR(L18/H18*100,0)</f>
        <v>-49.162671243524926</v>
      </c>
      <c r="N18" s="124">
        <f t="shared" ref="N18:N28" si="0">IFERROR(K18/$K$29*100,0)</f>
        <v>100</v>
      </c>
      <c r="O18" s="124" t="s">
        <v>165</v>
      </c>
      <c r="P18" s="167"/>
      <c r="Q18" s="171">
        <f>IFERROR(P18/K18*100,)</f>
        <v>0</v>
      </c>
      <c r="R18" s="122" t="s">
        <v>692</v>
      </c>
      <c r="AN18" s="2" t="s">
        <v>237</v>
      </c>
    </row>
    <row r="19" spans="1:40" ht="236.25" x14ac:dyDescent="0.25">
      <c r="A19" s="586"/>
      <c r="B19" s="586"/>
      <c r="C19" s="586"/>
      <c r="D19" s="224" t="s">
        <v>671</v>
      </c>
      <c r="E19" s="136" t="s">
        <v>680</v>
      </c>
      <c r="F19" s="123">
        <v>43466</v>
      </c>
      <c r="G19" s="123">
        <v>43830</v>
      </c>
      <c r="H19" s="601"/>
      <c r="I19" s="601"/>
      <c r="J19" s="601"/>
      <c r="K19" s="604"/>
      <c r="L19" s="138">
        <f t="shared" ref="L19:L29" si="1">K19-H19</f>
        <v>0</v>
      </c>
      <c r="M19" s="124">
        <f t="shared" ref="M19:M25" si="2">IFERROR(L19/H19*100,0)</f>
        <v>0</v>
      </c>
      <c r="N19" s="124">
        <f t="shared" si="0"/>
        <v>0</v>
      </c>
      <c r="O19" s="124" t="s">
        <v>165</v>
      </c>
      <c r="P19" s="167"/>
      <c r="Q19" s="171">
        <f t="shared" ref="Q19:Q25" si="3">IFERROR(P19/K19*100,)</f>
        <v>0</v>
      </c>
      <c r="R19" s="122" t="s">
        <v>692</v>
      </c>
    </row>
    <row r="20" spans="1:40" ht="78.75" x14ac:dyDescent="0.25">
      <c r="A20" s="586"/>
      <c r="B20" s="586"/>
      <c r="C20" s="586"/>
      <c r="D20" s="224" t="s">
        <v>672</v>
      </c>
      <c r="E20" s="136" t="s">
        <v>681</v>
      </c>
      <c r="F20" s="123">
        <v>43466</v>
      </c>
      <c r="G20" s="123">
        <v>43830</v>
      </c>
      <c r="H20" s="601"/>
      <c r="I20" s="601"/>
      <c r="J20" s="601"/>
      <c r="K20" s="604"/>
      <c r="L20" s="138">
        <f t="shared" si="1"/>
        <v>0</v>
      </c>
      <c r="M20" s="124">
        <f t="shared" si="2"/>
        <v>0</v>
      </c>
      <c r="N20" s="124">
        <f t="shared" si="0"/>
        <v>0</v>
      </c>
      <c r="O20" s="124" t="s">
        <v>165</v>
      </c>
      <c r="P20" s="167"/>
      <c r="Q20" s="171">
        <f t="shared" si="3"/>
        <v>0</v>
      </c>
      <c r="R20" s="122" t="s">
        <v>692</v>
      </c>
    </row>
    <row r="21" spans="1:40" ht="78.75" x14ac:dyDescent="0.25">
      <c r="A21" s="586"/>
      <c r="B21" s="586"/>
      <c r="C21" s="586"/>
      <c r="D21" s="224" t="s">
        <v>673</v>
      </c>
      <c r="E21" s="136" t="s">
        <v>682</v>
      </c>
      <c r="F21" s="123">
        <v>43466</v>
      </c>
      <c r="G21" s="123">
        <v>43830</v>
      </c>
      <c r="H21" s="601"/>
      <c r="I21" s="601"/>
      <c r="J21" s="601"/>
      <c r="K21" s="604"/>
      <c r="L21" s="138">
        <f t="shared" si="1"/>
        <v>0</v>
      </c>
      <c r="M21" s="124">
        <f t="shared" si="2"/>
        <v>0</v>
      </c>
      <c r="N21" s="124">
        <f t="shared" si="0"/>
        <v>0</v>
      </c>
      <c r="O21" s="124" t="s">
        <v>165</v>
      </c>
      <c r="P21" s="167"/>
      <c r="Q21" s="171">
        <f t="shared" si="3"/>
        <v>0</v>
      </c>
      <c r="R21" s="122" t="s">
        <v>692</v>
      </c>
    </row>
    <row r="22" spans="1:40" ht="55.5" customHeight="1" x14ac:dyDescent="0.25">
      <c r="A22" s="586"/>
      <c r="B22" s="586"/>
      <c r="C22" s="586"/>
      <c r="D22" s="122" t="s">
        <v>674</v>
      </c>
      <c r="E22" s="122" t="s">
        <v>683</v>
      </c>
      <c r="F22" s="123">
        <v>43466</v>
      </c>
      <c r="G22" s="123">
        <v>43830</v>
      </c>
      <c r="H22" s="601"/>
      <c r="I22" s="601"/>
      <c r="J22" s="601"/>
      <c r="K22" s="604"/>
      <c r="L22" s="138">
        <f t="shared" si="1"/>
        <v>0</v>
      </c>
      <c r="M22" s="124">
        <f t="shared" si="2"/>
        <v>0</v>
      </c>
      <c r="N22" s="124">
        <f t="shared" si="0"/>
        <v>0</v>
      </c>
      <c r="O22" s="124" t="s">
        <v>165</v>
      </c>
      <c r="P22" s="167"/>
      <c r="Q22" s="171">
        <f t="shared" si="3"/>
        <v>0</v>
      </c>
      <c r="R22" s="122" t="s">
        <v>692</v>
      </c>
    </row>
    <row r="23" spans="1:40" ht="87.75" customHeight="1" x14ac:dyDescent="0.25">
      <c r="A23" s="586"/>
      <c r="B23" s="586"/>
      <c r="C23" s="586"/>
      <c r="D23" s="122" t="s">
        <v>675</v>
      </c>
      <c r="E23" s="122" t="s">
        <v>690</v>
      </c>
      <c r="F23" s="123">
        <v>43466</v>
      </c>
      <c r="G23" s="123">
        <v>43830</v>
      </c>
      <c r="H23" s="601"/>
      <c r="I23" s="601"/>
      <c r="J23" s="601"/>
      <c r="K23" s="604"/>
      <c r="L23" s="138">
        <f t="shared" si="1"/>
        <v>0</v>
      </c>
      <c r="M23" s="124">
        <f t="shared" si="2"/>
        <v>0</v>
      </c>
      <c r="N23" s="124">
        <f t="shared" si="0"/>
        <v>0</v>
      </c>
      <c r="O23" s="124" t="s">
        <v>165</v>
      </c>
      <c r="P23" s="167"/>
      <c r="Q23" s="171">
        <f t="shared" si="3"/>
        <v>0</v>
      </c>
      <c r="R23" s="122" t="s">
        <v>692</v>
      </c>
    </row>
    <row r="24" spans="1:40" ht="326.25" customHeight="1" x14ac:dyDescent="0.25">
      <c r="A24" s="587"/>
      <c r="B24" s="586"/>
      <c r="C24" s="587"/>
      <c r="D24" s="122" t="s">
        <v>676</v>
      </c>
      <c r="E24" s="122" t="s">
        <v>684</v>
      </c>
      <c r="F24" s="123">
        <v>43466</v>
      </c>
      <c r="G24" s="123">
        <v>43830</v>
      </c>
      <c r="H24" s="601"/>
      <c r="I24" s="601"/>
      <c r="J24" s="601"/>
      <c r="K24" s="604"/>
      <c r="L24" s="138">
        <f t="shared" si="1"/>
        <v>0</v>
      </c>
      <c r="M24" s="124">
        <f t="shared" si="2"/>
        <v>0</v>
      </c>
      <c r="N24" s="124">
        <f t="shared" si="0"/>
        <v>0</v>
      </c>
      <c r="O24" s="124" t="s">
        <v>165</v>
      </c>
      <c r="P24" s="167"/>
      <c r="Q24" s="171">
        <f t="shared" si="3"/>
        <v>0</v>
      </c>
      <c r="R24" s="122" t="s">
        <v>692</v>
      </c>
    </row>
    <row r="25" spans="1:40" ht="131.25" x14ac:dyDescent="0.25">
      <c r="A25" s="136">
        <v>2</v>
      </c>
      <c r="B25" s="586"/>
      <c r="C25" s="122" t="s">
        <v>669</v>
      </c>
      <c r="D25" s="122" t="s">
        <v>688</v>
      </c>
      <c r="E25" s="122" t="s">
        <v>685</v>
      </c>
      <c r="F25" s="123">
        <v>43466</v>
      </c>
      <c r="G25" s="123">
        <v>43830</v>
      </c>
      <c r="H25" s="601"/>
      <c r="I25" s="601"/>
      <c r="J25" s="601"/>
      <c r="K25" s="604"/>
      <c r="L25" s="138">
        <f t="shared" si="1"/>
        <v>0</v>
      </c>
      <c r="M25" s="124">
        <f t="shared" si="2"/>
        <v>0</v>
      </c>
      <c r="N25" s="124">
        <f t="shared" si="0"/>
        <v>0</v>
      </c>
      <c r="O25" s="124" t="s">
        <v>165</v>
      </c>
      <c r="P25" s="167"/>
      <c r="Q25" s="171">
        <f t="shared" si="3"/>
        <v>0</v>
      </c>
      <c r="R25" s="122" t="s">
        <v>692</v>
      </c>
    </row>
    <row r="26" spans="1:40" ht="105" x14ac:dyDescent="0.25">
      <c r="A26" s="136">
        <v>3</v>
      </c>
      <c r="B26" s="586"/>
      <c r="C26" s="122" t="s">
        <v>666</v>
      </c>
      <c r="D26" s="122" t="s">
        <v>677</v>
      </c>
      <c r="E26" s="122" t="s">
        <v>686</v>
      </c>
      <c r="F26" s="123">
        <v>43466</v>
      </c>
      <c r="G26" s="123">
        <v>43830</v>
      </c>
      <c r="H26" s="601"/>
      <c r="I26" s="601"/>
      <c r="J26" s="601"/>
      <c r="K26" s="604"/>
      <c r="L26" s="138">
        <f t="shared" ref="L26:L28" si="4">K26-H26</f>
        <v>0</v>
      </c>
      <c r="M26" s="124">
        <f t="shared" ref="M26:M28" si="5">IFERROR(L26/H26*100,0)</f>
        <v>0</v>
      </c>
      <c r="N26" s="124">
        <f t="shared" si="0"/>
        <v>0</v>
      </c>
      <c r="O26" s="124" t="s">
        <v>165</v>
      </c>
      <c r="P26" s="167"/>
      <c r="Q26" s="171">
        <f t="shared" ref="Q26:Q28" si="6">IFERROR(P26/K26*100,)</f>
        <v>0</v>
      </c>
      <c r="R26" s="122" t="s">
        <v>692</v>
      </c>
    </row>
    <row r="27" spans="1:40" ht="105" x14ac:dyDescent="0.25">
      <c r="A27" s="136">
        <v>4</v>
      </c>
      <c r="B27" s="586"/>
      <c r="C27" s="122" t="s">
        <v>667</v>
      </c>
      <c r="D27" s="122" t="s">
        <v>691</v>
      </c>
      <c r="E27" s="122" t="s">
        <v>689</v>
      </c>
      <c r="F27" s="123">
        <v>43466</v>
      </c>
      <c r="G27" s="123">
        <v>43830</v>
      </c>
      <c r="H27" s="601"/>
      <c r="I27" s="601"/>
      <c r="J27" s="601"/>
      <c r="K27" s="604"/>
      <c r="L27" s="138">
        <f t="shared" si="4"/>
        <v>0</v>
      </c>
      <c r="M27" s="124">
        <f t="shared" si="5"/>
        <v>0</v>
      </c>
      <c r="N27" s="124">
        <f t="shared" si="0"/>
        <v>0</v>
      </c>
      <c r="O27" s="124" t="s">
        <v>165</v>
      </c>
      <c r="P27" s="167"/>
      <c r="Q27" s="171">
        <f t="shared" si="6"/>
        <v>0</v>
      </c>
      <c r="R27" s="122" t="s">
        <v>692</v>
      </c>
    </row>
    <row r="28" spans="1:40" ht="78.75" x14ac:dyDescent="0.25">
      <c r="A28" s="136">
        <v>5</v>
      </c>
      <c r="B28" s="587"/>
      <c r="C28" s="122" t="s">
        <v>668</v>
      </c>
      <c r="D28" s="122" t="s">
        <v>678</v>
      </c>
      <c r="E28" s="122" t="s">
        <v>687</v>
      </c>
      <c r="F28" s="123">
        <v>43466</v>
      </c>
      <c r="G28" s="123">
        <v>43830</v>
      </c>
      <c r="H28" s="602"/>
      <c r="I28" s="602"/>
      <c r="J28" s="602"/>
      <c r="K28" s="605"/>
      <c r="L28" s="138">
        <f t="shared" si="4"/>
        <v>0</v>
      </c>
      <c r="M28" s="124">
        <f t="shared" si="5"/>
        <v>0</v>
      </c>
      <c r="N28" s="124">
        <f t="shared" si="0"/>
        <v>0</v>
      </c>
      <c r="O28" s="124" t="s">
        <v>165</v>
      </c>
      <c r="P28" s="167"/>
      <c r="Q28" s="171">
        <f t="shared" si="6"/>
        <v>0</v>
      </c>
      <c r="R28" s="122" t="s">
        <v>692</v>
      </c>
    </row>
    <row r="29" spans="1:40" s="3" customFormat="1" ht="24.75" customHeight="1" x14ac:dyDescent="0.4">
      <c r="A29" s="597" t="s">
        <v>3</v>
      </c>
      <c r="B29" s="598"/>
      <c r="C29" s="598"/>
      <c r="D29" s="598"/>
      <c r="E29" s="598"/>
      <c r="F29" s="598"/>
      <c r="G29" s="599"/>
      <c r="H29" s="139">
        <f>SUM(H18:H28)</f>
        <v>160809</v>
      </c>
      <c r="I29" s="139">
        <f>SUM(I18:I28)</f>
        <v>37242</v>
      </c>
      <c r="J29" s="139">
        <f>SUM(J18:J28)</f>
        <v>44509</v>
      </c>
      <c r="K29" s="139">
        <f>SUM(K18:K28)</f>
        <v>81751</v>
      </c>
      <c r="L29" s="169">
        <f t="shared" si="1"/>
        <v>-79058</v>
      </c>
      <c r="M29" s="170">
        <f>IFERROR(L29/H29*100,0)</f>
        <v>-49.162671243524926</v>
      </c>
      <c r="N29" s="170">
        <f>SUM(N18:N28)</f>
        <v>100</v>
      </c>
      <c r="O29" s="170"/>
      <c r="P29" s="168">
        <f>SUM(P18:P28)</f>
        <v>0</v>
      </c>
      <c r="Q29" s="140">
        <f>IFERROR(P29/K29*100,)</f>
        <v>0</v>
      </c>
      <c r="R29" s="140"/>
    </row>
    <row r="30" spans="1:40" s="3" customFormat="1" ht="24.75" customHeight="1" x14ac:dyDescent="0.4">
      <c r="A30" s="298"/>
      <c r="B30" s="298"/>
      <c r="C30" s="298"/>
      <c r="D30" s="298"/>
      <c r="E30" s="298"/>
      <c r="F30" s="298"/>
      <c r="G30" s="298"/>
      <c r="H30" s="298"/>
      <c r="I30" s="298"/>
      <c r="J30" s="298"/>
      <c r="K30" s="298"/>
      <c r="L30" s="299"/>
      <c r="M30" s="300"/>
      <c r="N30" s="300"/>
      <c r="O30" s="300"/>
      <c r="P30" s="301"/>
      <c r="Q30" s="302"/>
      <c r="R30" s="302"/>
    </row>
    <row r="31" spans="1:40" s="3" customFormat="1" ht="24.75" customHeight="1" x14ac:dyDescent="0.4">
      <c r="A31" s="298"/>
      <c r="B31" s="298"/>
      <c r="C31" s="298"/>
      <c r="D31" s="298"/>
      <c r="E31" s="298"/>
      <c r="F31" s="298"/>
      <c r="G31" s="298"/>
      <c r="H31" s="298"/>
      <c r="I31" s="298"/>
      <c r="J31" s="298"/>
      <c r="K31" s="298"/>
      <c r="L31" s="299"/>
      <c r="M31" s="300"/>
      <c r="N31" s="300"/>
      <c r="O31" s="300"/>
      <c r="P31" s="301"/>
      <c r="Q31" s="302"/>
      <c r="R31" s="302"/>
    </row>
    <row r="32" spans="1:40" x14ac:dyDescent="0.4">
      <c r="A32" s="589" t="s">
        <v>116</v>
      </c>
      <c r="B32" s="589"/>
      <c r="C32" s="589"/>
      <c r="D32" s="589"/>
      <c r="E32" s="589"/>
      <c r="F32" s="589"/>
      <c r="G32" s="589"/>
      <c r="H32" s="589"/>
      <c r="I32" s="589"/>
      <c r="J32" s="589"/>
      <c r="K32" s="589"/>
      <c r="L32" s="589"/>
      <c r="M32" s="589"/>
      <c r="N32" s="589"/>
      <c r="O32" s="589"/>
      <c r="P32" s="589"/>
      <c r="Q32" s="589"/>
      <c r="R32" s="589"/>
    </row>
    <row r="33" spans="1:18" ht="36" customHeight="1" x14ac:dyDescent="0.25">
      <c r="A33" s="590" t="s">
        <v>179</v>
      </c>
      <c r="B33" s="591"/>
      <c r="C33" s="591"/>
      <c r="D33" s="591"/>
      <c r="E33" s="591"/>
      <c r="F33" s="591"/>
      <c r="G33" s="591"/>
      <c r="H33" s="591"/>
      <c r="I33" s="591"/>
      <c r="J33" s="591"/>
      <c r="K33" s="591"/>
      <c r="L33" s="591"/>
      <c r="M33" s="591"/>
      <c r="N33" s="591"/>
      <c r="O33" s="591"/>
      <c r="P33" s="591"/>
      <c r="Q33" s="591"/>
      <c r="R33" s="592"/>
    </row>
    <row r="34" spans="1:18" ht="95.25" customHeight="1" x14ac:dyDescent="0.4">
      <c r="A34" s="593"/>
      <c r="B34" s="594"/>
      <c r="C34" s="594"/>
      <c r="D34" s="594"/>
      <c r="E34" s="594"/>
      <c r="F34" s="594"/>
      <c r="G34" s="594"/>
      <c r="H34" s="594"/>
      <c r="I34" s="594"/>
      <c r="J34" s="594"/>
      <c r="K34" s="594"/>
      <c r="L34" s="594"/>
      <c r="M34" s="594"/>
      <c r="N34" s="594"/>
      <c r="O34" s="594"/>
      <c r="P34" s="594"/>
      <c r="Q34" s="594"/>
      <c r="R34" s="595"/>
    </row>
    <row r="35" spans="1:18" ht="15" hidden="1" customHeight="1" x14ac:dyDescent="0.4">
      <c r="A35" s="596" t="s">
        <v>12</v>
      </c>
      <c r="B35" s="596"/>
      <c r="C35" s="596"/>
      <c r="D35" s="596"/>
      <c r="E35" s="596"/>
      <c r="F35" s="596"/>
      <c r="G35" s="141"/>
      <c r="H35" s="141"/>
      <c r="I35" s="141"/>
      <c r="J35" s="141"/>
      <c r="K35" s="141"/>
      <c r="L35" s="141"/>
      <c r="M35" s="141"/>
      <c r="N35" s="141"/>
      <c r="O35" s="141"/>
      <c r="P35" s="141"/>
      <c r="Q35" s="141"/>
      <c r="R35" s="141"/>
    </row>
    <row r="36" spans="1:18" ht="15" hidden="1" customHeight="1" x14ac:dyDescent="0.4">
      <c r="A36" s="142" t="s">
        <v>16</v>
      </c>
      <c r="B36" s="142"/>
      <c r="C36" s="588" t="s">
        <v>20</v>
      </c>
      <c r="D36" s="588"/>
      <c r="E36" s="588"/>
      <c r="F36" s="588"/>
      <c r="P36" s="77"/>
      <c r="Q36" s="77"/>
      <c r="R36" s="77"/>
    </row>
    <row r="37" spans="1:18" ht="15" hidden="1" customHeight="1" x14ac:dyDescent="0.4">
      <c r="A37" s="142" t="s">
        <v>17</v>
      </c>
      <c r="B37" s="142"/>
      <c r="C37" s="588" t="s">
        <v>13</v>
      </c>
      <c r="D37" s="588"/>
      <c r="E37" s="588"/>
      <c r="F37" s="588"/>
      <c r="P37" s="77"/>
      <c r="Q37" s="77"/>
      <c r="R37" s="77"/>
    </row>
    <row r="38" spans="1:18" ht="15" hidden="1" customHeight="1" x14ac:dyDescent="0.4">
      <c r="A38" s="142" t="s">
        <v>18</v>
      </c>
      <c r="B38" s="142"/>
      <c r="C38" s="588" t="s">
        <v>14</v>
      </c>
      <c r="D38" s="588"/>
      <c r="E38" s="588"/>
      <c r="F38" s="588"/>
      <c r="P38" s="77"/>
      <c r="Q38" s="77"/>
      <c r="R38" s="77"/>
    </row>
    <row r="39" spans="1:18" ht="15" hidden="1" customHeight="1" x14ac:dyDescent="0.4">
      <c r="A39" s="142" t="s">
        <v>19</v>
      </c>
      <c r="B39" s="142"/>
      <c r="C39" s="588" t="s">
        <v>15</v>
      </c>
      <c r="D39" s="588"/>
      <c r="E39" s="588"/>
      <c r="F39" s="588"/>
      <c r="P39" s="77"/>
      <c r="Q39" s="77"/>
      <c r="R39" s="77"/>
    </row>
    <row r="40" spans="1:18" ht="35.25" customHeight="1" x14ac:dyDescent="0.4"/>
  </sheetData>
  <sheetProtection formatCells="0" formatRows="0" insertRows="0" deleteRows="0"/>
  <mergeCells count="52">
    <mergeCell ref="J18:J28"/>
    <mergeCell ref="A29:G29"/>
    <mergeCell ref="C18:C24"/>
    <mergeCell ref="A18:A24"/>
    <mergeCell ref="H18:H28"/>
    <mergeCell ref="I18:I28"/>
    <mergeCell ref="B18:B28"/>
    <mergeCell ref="C38:F38"/>
    <mergeCell ref="C39:F39"/>
    <mergeCell ref="A32:R32"/>
    <mergeCell ref="A33:R33"/>
    <mergeCell ref="A34:R34"/>
    <mergeCell ref="A35:F35"/>
    <mergeCell ref="C36:F36"/>
    <mergeCell ref="C37:F37"/>
    <mergeCell ref="L15:M15"/>
    <mergeCell ref="N15:N17"/>
    <mergeCell ref="O15:O17"/>
    <mergeCell ref="P15:Q15"/>
    <mergeCell ref="R15:R17"/>
    <mergeCell ref="L16:L17"/>
    <mergeCell ref="M16:M17"/>
    <mergeCell ref="P16:P17"/>
    <mergeCell ref="Q16:Q17"/>
    <mergeCell ref="A12:F12"/>
    <mergeCell ref="G12:R12"/>
    <mergeCell ref="A13:F13"/>
    <mergeCell ref="G13:R13"/>
    <mergeCell ref="A14:R14"/>
    <mergeCell ref="H15:K15"/>
    <mergeCell ref="C16:C17"/>
    <mergeCell ref="D16:E16"/>
    <mergeCell ref="F16:F17"/>
    <mergeCell ref="G16:G17"/>
    <mergeCell ref="H16:H17"/>
    <mergeCell ref="I16:K16"/>
    <mergeCell ref="K18:K28"/>
    <mergeCell ref="A6:R6"/>
    <mergeCell ref="A7:F7"/>
    <mergeCell ref="G7:R7"/>
    <mergeCell ref="A8:F8"/>
    <mergeCell ref="G8:R8"/>
    <mergeCell ref="A9:F9"/>
    <mergeCell ref="G9:R9"/>
    <mergeCell ref="A10:F10"/>
    <mergeCell ref="G10:R10"/>
    <mergeCell ref="A11:F11"/>
    <mergeCell ref="G11:R11"/>
    <mergeCell ref="A15:A17"/>
    <mergeCell ref="B15:B17"/>
    <mergeCell ref="C15:E15"/>
    <mergeCell ref="F15:G15"/>
  </mergeCells>
  <dataValidations count="1">
    <dataValidation type="list" allowBlank="1" showInputMessage="1" showErrorMessage="1" sqref="O18:O2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3"/>
  <sheetViews>
    <sheetView showGridLines="0" topLeftCell="A13" zoomScale="40" zoomScaleNormal="40" zoomScaleSheetLayoutView="80" workbookViewId="0">
      <selection activeCell="C21" sqref="C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372</v>
      </c>
      <c r="H7" s="572"/>
      <c r="I7" s="572"/>
      <c r="J7" s="572"/>
      <c r="K7" s="572"/>
      <c r="L7" s="572"/>
      <c r="M7" s="572"/>
      <c r="N7" s="572"/>
      <c r="O7" s="572"/>
      <c r="P7" s="572"/>
      <c r="Q7" s="572"/>
      <c r="R7" s="572"/>
      <c r="S7" s="2" t="b">
        <f>G7='Quadro Geral'!A13</f>
        <v>1</v>
      </c>
    </row>
    <row r="8" spans="1:19" ht="54" customHeight="1" x14ac:dyDescent="0.4">
      <c r="A8" s="571" t="s">
        <v>140</v>
      </c>
      <c r="B8" s="571"/>
      <c r="C8" s="571"/>
      <c r="D8" s="571"/>
      <c r="E8" s="571"/>
      <c r="F8" s="571"/>
      <c r="G8" s="572" t="s">
        <v>646</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390</v>
      </c>
      <c r="H10" s="572"/>
      <c r="I10" s="572"/>
      <c r="J10" s="572"/>
      <c r="K10" s="572"/>
      <c r="L10" s="572"/>
      <c r="M10" s="572"/>
      <c r="N10" s="572"/>
      <c r="O10" s="572"/>
      <c r="P10" s="572"/>
      <c r="Q10" s="572"/>
      <c r="R10" s="572"/>
      <c r="S10" s="2" t="b">
        <f>G10='Quadro Geral'!E13</f>
        <v>1</v>
      </c>
    </row>
    <row r="11" spans="1:19" ht="54" customHeight="1" x14ac:dyDescent="0.4">
      <c r="A11" s="571" t="s">
        <v>154</v>
      </c>
      <c r="B11" s="571"/>
      <c r="C11" s="571"/>
      <c r="D11" s="571"/>
      <c r="E11" s="571"/>
      <c r="F11" s="571"/>
      <c r="G11" s="572" t="s">
        <v>418</v>
      </c>
      <c r="H11" s="572"/>
      <c r="I11" s="572"/>
      <c r="J11" s="572"/>
      <c r="K11" s="572"/>
      <c r="L11" s="572"/>
      <c r="M11" s="572"/>
      <c r="N11" s="572"/>
      <c r="O11" s="572"/>
      <c r="P11" s="572"/>
      <c r="Q11" s="572"/>
      <c r="R11" s="572"/>
      <c r="S11" s="2" t="b">
        <f>G11='Quadro Geral'!F13</f>
        <v>1</v>
      </c>
    </row>
    <row r="12" spans="1:19" ht="54" customHeight="1" x14ac:dyDescent="0.4">
      <c r="A12" s="571" t="s">
        <v>142</v>
      </c>
      <c r="B12" s="571"/>
      <c r="C12" s="571"/>
      <c r="D12" s="571"/>
      <c r="E12" s="571"/>
      <c r="F12" s="571"/>
      <c r="G12" s="572" t="s">
        <v>64</v>
      </c>
      <c r="H12" s="572"/>
      <c r="I12" s="572"/>
      <c r="J12" s="572"/>
      <c r="K12" s="572"/>
      <c r="L12" s="572"/>
      <c r="M12" s="572"/>
      <c r="N12" s="572"/>
      <c r="O12" s="572"/>
      <c r="P12" s="572"/>
      <c r="Q12" s="572"/>
      <c r="R12" s="572"/>
      <c r="S12" s="2" t="b">
        <f>G12='Quadro Geral'!G13</f>
        <v>1</v>
      </c>
    </row>
    <row r="13" spans="1:19" ht="54" customHeight="1" x14ac:dyDescent="0.4">
      <c r="A13" s="383" t="s">
        <v>155</v>
      </c>
      <c r="B13" s="383"/>
      <c r="C13" s="383"/>
      <c r="D13" s="383"/>
      <c r="E13" s="383"/>
      <c r="F13" s="383"/>
      <c r="G13" s="573" t="s">
        <v>446</v>
      </c>
      <c r="H13" s="573"/>
      <c r="I13" s="573"/>
      <c r="J13" s="573"/>
      <c r="K13" s="573"/>
      <c r="L13" s="573"/>
      <c r="M13" s="573"/>
      <c r="N13" s="573"/>
      <c r="O13" s="573"/>
      <c r="P13" s="573"/>
      <c r="Q13" s="573"/>
      <c r="R13" s="573"/>
      <c r="S13" s="2" t="b">
        <f>G13='Quadro Geral'!H13</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31.25" x14ac:dyDescent="0.25">
      <c r="A18" s="136">
        <v>1</v>
      </c>
      <c r="B18" s="585" t="s">
        <v>641</v>
      </c>
      <c r="C18" s="277" t="s">
        <v>505</v>
      </c>
      <c r="D18" s="224" t="s">
        <v>509</v>
      </c>
      <c r="E18" s="122" t="s">
        <v>513</v>
      </c>
      <c r="F18" s="123">
        <v>43466</v>
      </c>
      <c r="G18" s="123">
        <v>43830</v>
      </c>
      <c r="H18" s="600">
        <v>391809</v>
      </c>
      <c r="I18" s="600">
        <v>111192</v>
      </c>
      <c r="J18" s="600">
        <v>306709</v>
      </c>
      <c r="K18" s="603">
        <f>I18+J18</f>
        <v>417901</v>
      </c>
      <c r="L18" s="138">
        <f>K18-H18</f>
        <v>26092</v>
      </c>
      <c r="M18" s="124">
        <f>IFERROR(L18/H18*100,0)</f>
        <v>6.6593671916673687</v>
      </c>
      <c r="N18" s="124">
        <f>IFERROR(K18/$K$22*100,0)</f>
        <v>100</v>
      </c>
      <c r="O18" s="124" t="s">
        <v>165</v>
      </c>
      <c r="P18" s="167"/>
      <c r="Q18" s="171">
        <f>IFERROR(P18/K18*100,)</f>
        <v>0</v>
      </c>
      <c r="R18" s="122" t="s">
        <v>646</v>
      </c>
      <c r="AN18" s="2" t="s">
        <v>237</v>
      </c>
    </row>
    <row r="19" spans="1:40" ht="105" x14ac:dyDescent="0.25">
      <c r="A19" s="136">
        <v>2</v>
      </c>
      <c r="B19" s="586"/>
      <c r="C19" s="122" t="s">
        <v>506</v>
      </c>
      <c r="D19" s="136" t="s">
        <v>510</v>
      </c>
      <c r="E19" s="122" t="s">
        <v>514</v>
      </c>
      <c r="F19" s="123">
        <v>43466</v>
      </c>
      <c r="G19" s="123">
        <v>43830</v>
      </c>
      <c r="H19" s="601"/>
      <c r="I19" s="601"/>
      <c r="J19" s="601"/>
      <c r="K19" s="604"/>
      <c r="L19" s="138">
        <f t="shared" ref="L19:L22" si="0">K19-H19</f>
        <v>0</v>
      </c>
      <c r="M19" s="124">
        <f t="shared" ref="M19:M21" si="1">IFERROR(L19/H19*100,0)</f>
        <v>0</v>
      </c>
      <c r="N19" s="124">
        <f>IFERROR(K19/$K$22*100,0)</f>
        <v>0</v>
      </c>
      <c r="O19" s="124" t="s">
        <v>165</v>
      </c>
      <c r="P19" s="167"/>
      <c r="Q19" s="171">
        <f t="shared" ref="Q19:Q21" si="2">IFERROR(P19/K19*100,)</f>
        <v>0</v>
      </c>
      <c r="R19" s="122" t="s">
        <v>646</v>
      </c>
    </row>
    <row r="20" spans="1:40" ht="131.25" x14ac:dyDescent="0.25">
      <c r="A20" s="136">
        <v>3</v>
      </c>
      <c r="B20" s="586"/>
      <c r="C20" s="122" t="s">
        <v>507</v>
      </c>
      <c r="D20" s="136" t="s">
        <v>511</v>
      </c>
      <c r="E20" s="122" t="s">
        <v>515</v>
      </c>
      <c r="F20" s="123">
        <v>43466</v>
      </c>
      <c r="G20" s="123">
        <v>43830</v>
      </c>
      <c r="H20" s="601"/>
      <c r="I20" s="601"/>
      <c r="J20" s="601"/>
      <c r="K20" s="604"/>
      <c r="L20" s="138">
        <f t="shared" si="0"/>
        <v>0</v>
      </c>
      <c r="M20" s="124">
        <f t="shared" si="1"/>
        <v>0</v>
      </c>
      <c r="N20" s="124">
        <f>IFERROR(K20/$K$22*100,0)</f>
        <v>0</v>
      </c>
      <c r="O20" s="124" t="s">
        <v>165</v>
      </c>
      <c r="P20" s="167"/>
      <c r="Q20" s="171">
        <f t="shared" si="2"/>
        <v>0</v>
      </c>
      <c r="R20" s="122" t="s">
        <v>646</v>
      </c>
    </row>
    <row r="21" spans="1:40" ht="105" x14ac:dyDescent="0.25">
      <c r="A21" s="136">
        <v>4</v>
      </c>
      <c r="B21" s="587"/>
      <c r="C21" s="122" t="s">
        <v>508</v>
      </c>
      <c r="D21" s="136" t="s">
        <v>512</v>
      </c>
      <c r="E21" s="122" t="s">
        <v>516</v>
      </c>
      <c r="F21" s="123">
        <v>43466</v>
      </c>
      <c r="G21" s="123">
        <v>43830</v>
      </c>
      <c r="H21" s="602"/>
      <c r="I21" s="602"/>
      <c r="J21" s="602"/>
      <c r="K21" s="605"/>
      <c r="L21" s="138">
        <f t="shared" si="0"/>
        <v>0</v>
      </c>
      <c r="M21" s="124">
        <f t="shared" si="1"/>
        <v>0</v>
      </c>
      <c r="N21" s="124">
        <f>IFERROR(K21/$K$22*100,0)</f>
        <v>0</v>
      </c>
      <c r="O21" s="124" t="s">
        <v>165</v>
      </c>
      <c r="P21" s="167"/>
      <c r="Q21" s="171">
        <f t="shared" si="2"/>
        <v>0</v>
      </c>
      <c r="R21" s="122" t="s">
        <v>646</v>
      </c>
    </row>
    <row r="22" spans="1:40" s="3" customFormat="1" ht="24.75" customHeight="1" x14ac:dyDescent="0.4">
      <c r="A22" s="597" t="s">
        <v>3</v>
      </c>
      <c r="B22" s="598"/>
      <c r="C22" s="598"/>
      <c r="D22" s="598"/>
      <c r="E22" s="598"/>
      <c r="F22" s="598"/>
      <c r="G22" s="599"/>
      <c r="H22" s="139">
        <f>SUM(H18:H21)</f>
        <v>391809</v>
      </c>
      <c r="I22" s="139">
        <f>SUM(I18:I21)</f>
        <v>111192</v>
      </c>
      <c r="J22" s="139">
        <f>SUM(J18:J21)</f>
        <v>306709</v>
      </c>
      <c r="K22" s="139">
        <f>SUM(K18:K21)</f>
        <v>417901</v>
      </c>
      <c r="L22" s="169">
        <f t="shared" si="0"/>
        <v>26092</v>
      </c>
      <c r="M22" s="170">
        <f>IFERROR(L22/H22*100,0)</f>
        <v>6.6593671916673687</v>
      </c>
      <c r="N22" s="170">
        <f>SUM(N18:N21)</f>
        <v>100</v>
      </c>
      <c r="O22" s="170"/>
      <c r="P22" s="168">
        <f>SUM(P18:P21)</f>
        <v>0</v>
      </c>
      <c r="Q22" s="140">
        <f>IFERROR(P22/K22*100,)</f>
        <v>0</v>
      </c>
      <c r="R22" s="140"/>
    </row>
    <row r="23" spans="1:40" s="3" customFormat="1" ht="24.75" customHeight="1" x14ac:dyDescent="0.4">
      <c r="A23" s="298"/>
      <c r="B23" s="298"/>
      <c r="C23" s="298"/>
      <c r="D23" s="298"/>
      <c r="E23" s="298"/>
      <c r="F23" s="298"/>
      <c r="G23" s="298"/>
      <c r="H23" s="307"/>
      <c r="I23" s="307"/>
      <c r="J23" s="307"/>
      <c r="K23" s="307"/>
      <c r="L23" s="299"/>
      <c r="M23" s="300"/>
      <c r="N23" s="300"/>
      <c r="O23" s="300"/>
      <c r="P23" s="301"/>
      <c r="Q23" s="302"/>
      <c r="R23" s="302"/>
    </row>
    <row r="24" spans="1:40" s="3" customFormat="1" ht="24.75" customHeight="1" x14ac:dyDescent="0.4">
      <c r="A24" s="298"/>
      <c r="B24" s="298"/>
      <c r="C24" s="298"/>
      <c r="D24" s="298"/>
      <c r="E24" s="298"/>
      <c r="F24" s="298"/>
      <c r="G24" s="298"/>
      <c r="H24" s="362"/>
      <c r="I24" s="362"/>
      <c r="J24" s="362"/>
      <c r="K24" s="362"/>
      <c r="L24" s="299"/>
      <c r="M24" s="300"/>
      <c r="N24" s="300"/>
      <c r="O24" s="300"/>
      <c r="P24" s="301"/>
      <c r="Q24" s="302"/>
      <c r="R24" s="302"/>
    </row>
    <row r="25" spans="1:40" x14ac:dyDescent="0.4">
      <c r="A25" s="589" t="s">
        <v>116</v>
      </c>
      <c r="B25" s="589"/>
      <c r="C25" s="589"/>
      <c r="D25" s="589"/>
      <c r="E25" s="589"/>
      <c r="F25" s="589"/>
      <c r="G25" s="589"/>
      <c r="H25" s="589"/>
      <c r="I25" s="589"/>
      <c r="J25" s="589"/>
      <c r="K25" s="589"/>
      <c r="L25" s="589"/>
      <c r="M25" s="589"/>
      <c r="N25" s="589"/>
      <c r="O25" s="589"/>
      <c r="P25" s="589"/>
      <c r="Q25" s="589"/>
      <c r="R25" s="589"/>
    </row>
    <row r="26" spans="1:40" ht="36" customHeight="1" x14ac:dyDescent="0.25">
      <c r="A26" s="590" t="s">
        <v>179</v>
      </c>
      <c r="B26" s="591"/>
      <c r="C26" s="591"/>
      <c r="D26" s="591"/>
      <c r="E26" s="591"/>
      <c r="F26" s="591"/>
      <c r="G26" s="591"/>
      <c r="H26" s="591"/>
      <c r="I26" s="591"/>
      <c r="J26" s="591"/>
      <c r="K26" s="591"/>
      <c r="L26" s="591"/>
      <c r="M26" s="591"/>
      <c r="N26" s="591"/>
      <c r="O26" s="591"/>
      <c r="P26" s="591"/>
      <c r="Q26" s="591"/>
      <c r="R26" s="592"/>
    </row>
    <row r="27" spans="1:40" ht="95.25" customHeight="1" x14ac:dyDescent="0.4">
      <c r="A27" s="593"/>
      <c r="B27" s="594"/>
      <c r="C27" s="594"/>
      <c r="D27" s="594"/>
      <c r="E27" s="594"/>
      <c r="F27" s="594"/>
      <c r="G27" s="594"/>
      <c r="H27" s="594"/>
      <c r="I27" s="594"/>
      <c r="J27" s="594"/>
      <c r="K27" s="594"/>
      <c r="L27" s="594"/>
      <c r="M27" s="594"/>
      <c r="N27" s="594"/>
      <c r="O27" s="594"/>
      <c r="P27" s="594"/>
      <c r="Q27" s="594"/>
      <c r="R27" s="595"/>
    </row>
    <row r="28" spans="1:40" ht="15" hidden="1" customHeight="1" x14ac:dyDescent="0.4">
      <c r="A28" s="596" t="s">
        <v>12</v>
      </c>
      <c r="B28" s="596"/>
      <c r="C28" s="596"/>
      <c r="D28" s="596"/>
      <c r="E28" s="596"/>
      <c r="F28" s="596"/>
      <c r="G28" s="141"/>
      <c r="H28" s="141"/>
      <c r="I28" s="141"/>
      <c r="J28" s="141"/>
      <c r="K28" s="141"/>
      <c r="L28" s="141"/>
      <c r="M28" s="141"/>
      <c r="N28" s="141"/>
      <c r="O28" s="141"/>
      <c r="P28" s="141"/>
      <c r="Q28" s="141"/>
      <c r="R28" s="141"/>
    </row>
    <row r="29" spans="1:40" ht="15" hidden="1" customHeight="1" x14ac:dyDescent="0.4">
      <c r="A29" s="142" t="s">
        <v>16</v>
      </c>
      <c r="B29" s="142"/>
      <c r="C29" s="588" t="s">
        <v>20</v>
      </c>
      <c r="D29" s="588"/>
      <c r="E29" s="588"/>
      <c r="F29" s="588"/>
      <c r="P29" s="77"/>
      <c r="Q29" s="77"/>
      <c r="R29" s="77"/>
    </row>
    <row r="30" spans="1:40" ht="15" hidden="1" customHeight="1" x14ac:dyDescent="0.4">
      <c r="A30" s="142" t="s">
        <v>17</v>
      </c>
      <c r="B30" s="142"/>
      <c r="C30" s="588" t="s">
        <v>13</v>
      </c>
      <c r="D30" s="588"/>
      <c r="E30" s="588"/>
      <c r="F30" s="588"/>
      <c r="P30" s="77"/>
      <c r="Q30" s="77"/>
      <c r="R30" s="77"/>
    </row>
    <row r="31" spans="1:40" ht="15" hidden="1" customHeight="1" x14ac:dyDescent="0.4">
      <c r="A31" s="142" t="s">
        <v>18</v>
      </c>
      <c r="B31" s="142"/>
      <c r="C31" s="588" t="s">
        <v>14</v>
      </c>
      <c r="D31" s="588"/>
      <c r="E31" s="588"/>
      <c r="F31" s="588"/>
      <c r="P31" s="77"/>
      <c r="Q31" s="77"/>
      <c r="R31" s="77"/>
    </row>
    <row r="32" spans="1:40" ht="15" hidden="1" customHeight="1" x14ac:dyDescent="0.4">
      <c r="A32" s="142" t="s">
        <v>19</v>
      </c>
      <c r="B32" s="142"/>
      <c r="C32" s="588" t="s">
        <v>15</v>
      </c>
      <c r="D32" s="588"/>
      <c r="E32" s="588"/>
      <c r="F32" s="588"/>
      <c r="P32" s="77"/>
      <c r="Q32" s="77"/>
      <c r="R32" s="77"/>
    </row>
    <row r="33" ht="35.25" customHeight="1" x14ac:dyDescent="0.4"/>
  </sheetData>
  <sheetProtection formatCells="0" formatRows="0" insertRows="0" deleteRows="0"/>
  <mergeCells count="50">
    <mergeCell ref="B18:B21"/>
    <mergeCell ref="C31:F31"/>
    <mergeCell ref="C32:F32"/>
    <mergeCell ref="A25:R25"/>
    <mergeCell ref="A26:R26"/>
    <mergeCell ref="A27:R27"/>
    <mergeCell ref="A28:F28"/>
    <mergeCell ref="C29:F29"/>
    <mergeCell ref="C30:F30"/>
    <mergeCell ref="A22:G22"/>
    <mergeCell ref="H18:H21"/>
    <mergeCell ref="I18:I21"/>
    <mergeCell ref="J18:J21"/>
    <mergeCell ref="K18:K21"/>
    <mergeCell ref="A15:A17"/>
    <mergeCell ref="B15:B17"/>
    <mergeCell ref="I16:K16"/>
    <mergeCell ref="L16:L17"/>
    <mergeCell ref="M16:M17"/>
    <mergeCell ref="R15:R17"/>
    <mergeCell ref="C16:C17"/>
    <mergeCell ref="D16:E16"/>
    <mergeCell ref="F16:F17"/>
    <mergeCell ref="G16:G17"/>
    <mergeCell ref="H16:H17"/>
    <mergeCell ref="C15:E15"/>
    <mergeCell ref="F15:G15"/>
    <mergeCell ref="H15:K15"/>
    <mergeCell ref="L15:M15"/>
    <mergeCell ref="N15:N17"/>
    <mergeCell ref="O15:O17"/>
    <mergeCell ref="P15:Q15"/>
    <mergeCell ref="P16:P17"/>
    <mergeCell ref="Q16:Q17"/>
    <mergeCell ref="A12:F12"/>
    <mergeCell ref="G12:R12"/>
    <mergeCell ref="A13:F13"/>
    <mergeCell ref="G13:R13"/>
    <mergeCell ref="A14:R14"/>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1">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tabColor rgb="FFB2EDEC"/>
  </sheetPr>
  <dimension ref="A5:AN43"/>
  <sheetViews>
    <sheetView showGridLines="0" topLeftCell="A31" zoomScale="40" zoomScaleNormal="40" zoomScaleSheetLayoutView="80" workbookViewId="0">
      <selection activeCell="H33" sqref="H33:K34"/>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373</v>
      </c>
      <c r="H7" s="572"/>
      <c r="I7" s="572"/>
      <c r="J7" s="572"/>
      <c r="K7" s="572"/>
      <c r="L7" s="572"/>
      <c r="M7" s="572"/>
      <c r="N7" s="572"/>
      <c r="O7" s="572"/>
      <c r="P7" s="572"/>
      <c r="Q7" s="572"/>
      <c r="R7" s="572"/>
      <c r="S7" s="2" t="b">
        <f>G7='Quadro Geral'!A14</f>
        <v>1</v>
      </c>
    </row>
    <row r="8" spans="1:19" ht="54" customHeight="1" x14ac:dyDescent="0.4">
      <c r="A8" s="571" t="s">
        <v>140</v>
      </c>
      <c r="B8" s="571"/>
      <c r="C8" s="571"/>
      <c r="D8" s="571"/>
      <c r="E8" s="571"/>
      <c r="F8" s="571"/>
      <c r="G8" s="572" t="s">
        <v>647</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391</v>
      </c>
      <c r="H10" s="572"/>
      <c r="I10" s="572"/>
      <c r="J10" s="572"/>
      <c r="K10" s="572"/>
      <c r="L10" s="572"/>
      <c r="M10" s="572"/>
      <c r="N10" s="572"/>
      <c r="O10" s="572"/>
      <c r="P10" s="572"/>
      <c r="Q10" s="572"/>
      <c r="R10" s="572"/>
      <c r="S10" s="2" t="b">
        <f>G10='Quadro Geral'!E14</f>
        <v>1</v>
      </c>
    </row>
    <row r="11" spans="1:19" ht="54" customHeight="1" x14ac:dyDescent="0.4">
      <c r="A11" s="571" t="s">
        <v>154</v>
      </c>
      <c r="B11" s="571"/>
      <c r="C11" s="571"/>
      <c r="D11" s="571"/>
      <c r="E11" s="571"/>
      <c r="F11" s="571"/>
      <c r="G11" s="572" t="s">
        <v>419</v>
      </c>
      <c r="H11" s="572"/>
      <c r="I11" s="572"/>
      <c r="J11" s="572"/>
      <c r="K11" s="572"/>
      <c r="L11" s="572"/>
      <c r="M11" s="572"/>
      <c r="N11" s="572"/>
      <c r="O11" s="572"/>
      <c r="P11" s="572"/>
      <c r="Q11" s="572"/>
      <c r="R11" s="572"/>
      <c r="S11" s="2" t="b">
        <f>G11='Quadro Geral'!F14</f>
        <v>1</v>
      </c>
    </row>
    <row r="12" spans="1:19" ht="54" customHeight="1" x14ac:dyDescent="0.4">
      <c r="A12" s="571" t="s">
        <v>142</v>
      </c>
      <c r="B12" s="571"/>
      <c r="C12" s="571"/>
      <c r="D12" s="571"/>
      <c r="E12" s="571"/>
      <c r="F12" s="571"/>
      <c r="G12" s="572" t="s">
        <v>65</v>
      </c>
      <c r="H12" s="572"/>
      <c r="I12" s="572"/>
      <c r="J12" s="572"/>
      <c r="K12" s="572"/>
      <c r="L12" s="572"/>
      <c r="M12" s="572"/>
      <c r="N12" s="572"/>
      <c r="O12" s="572"/>
      <c r="P12" s="572"/>
      <c r="Q12" s="572"/>
      <c r="R12" s="572"/>
      <c r="S12" s="2" t="b">
        <f>G12='Quadro Geral'!G14</f>
        <v>1</v>
      </c>
    </row>
    <row r="13" spans="1:19" ht="54" customHeight="1" x14ac:dyDescent="0.4">
      <c r="A13" s="383" t="s">
        <v>155</v>
      </c>
      <c r="B13" s="383"/>
      <c r="C13" s="383"/>
      <c r="D13" s="383"/>
      <c r="E13" s="383"/>
      <c r="F13" s="383"/>
      <c r="G13" s="573" t="s">
        <v>447</v>
      </c>
      <c r="H13" s="573"/>
      <c r="I13" s="573"/>
      <c r="J13" s="573"/>
      <c r="K13" s="573"/>
      <c r="L13" s="573"/>
      <c r="M13" s="573"/>
      <c r="N13" s="573"/>
      <c r="O13" s="573"/>
      <c r="P13" s="573"/>
      <c r="Q13" s="573"/>
      <c r="R13" s="573"/>
      <c r="S13" s="2" t="b">
        <f>G13='Quadro Geral'!H14</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134" t="s">
        <v>161</v>
      </c>
      <c r="E17" s="134" t="s">
        <v>162</v>
      </c>
      <c r="F17" s="575"/>
      <c r="G17" s="575"/>
      <c r="H17" s="575"/>
      <c r="I17" s="208" t="s">
        <v>217</v>
      </c>
      <c r="J17" s="208" t="s">
        <v>223</v>
      </c>
      <c r="K17" s="208" t="s">
        <v>224</v>
      </c>
      <c r="L17" s="575"/>
      <c r="M17" s="575"/>
      <c r="N17" s="579"/>
      <c r="O17" s="582"/>
      <c r="P17" s="584"/>
      <c r="Q17" s="584"/>
      <c r="R17" s="575"/>
      <c r="AN17" s="2" t="s">
        <v>165</v>
      </c>
    </row>
    <row r="18" spans="1:40" ht="183.75" x14ac:dyDescent="0.25">
      <c r="A18" s="136">
        <v>1</v>
      </c>
      <c r="B18" s="585" t="s">
        <v>641</v>
      </c>
      <c r="C18" s="275" t="s">
        <v>517</v>
      </c>
      <c r="D18" s="278" t="s">
        <v>531</v>
      </c>
      <c r="E18" s="278" t="s">
        <v>545</v>
      </c>
      <c r="F18" s="123">
        <v>43466</v>
      </c>
      <c r="G18" s="123">
        <v>43830</v>
      </c>
      <c r="H18" s="600">
        <v>202333</v>
      </c>
      <c r="I18" s="600">
        <v>56777</v>
      </c>
      <c r="J18" s="600">
        <v>149778</v>
      </c>
      <c r="K18" s="603">
        <f>I18+J18</f>
        <v>206555</v>
      </c>
      <c r="L18" s="138">
        <f>K18-H18</f>
        <v>4222</v>
      </c>
      <c r="M18" s="124">
        <f>IFERROR(L18/H18*100,0)</f>
        <v>2.0866591213494585</v>
      </c>
      <c r="N18" s="124">
        <f t="shared" ref="N18:N31" si="0">IFERROR(K18/$K$32*100,0)</f>
        <v>100</v>
      </c>
      <c r="O18" s="124" t="s">
        <v>165</v>
      </c>
      <c r="P18" s="167"/>
      <c r="Q18" s="171">
        <f>IFERROR(P18/K18*100,)</f>
        <v>0</v>
      </c>
      <c r="R18" s="122" t="s">
        <v>647</v>
      </c>
      <c r="AN18" s="2" t="s">
        <v>237</v>
      </c>
    </row>
    <row r="19" spans="1:40" ht="105" x14ac:dyDescent="0.25">
      <c r="A19" s="136">
        <v>2</v>
      </c>
      <c r="B19" s="586"/>
      <c r="C19" s="275" t="s">
        <v>518</v>
      </c>
      <c r="D19" s="136" t="s">
        <v>532</v>
      </c>
      <c r="E19" s="149" t="s">
        <v>546</v>
      </c>
      <c r="F19" s="123">
        <v>43466</v>
      </c>
      <c r="G19" s="123">
        <v>43830</v>
      </c>
      <c r="H19" s="601"/>
      <c r="I19" s="601"/>
      <c r="J19" s="601"/>
      <c r="K19" s="604"/>
      <c r="L19" s="138">
        <f t="shared" ref="L19:L32" si="1">K19-H19</f>
        <v>0</v>
      </c>
      <c r="M19" s="124">
        <f t="shared" ref="M19:M31" si="2">IFERROR(L19/H19*100,0)</f>
        <v>0</v>
      </c>
      <c r="N19" s="124">
        <f t="shared" si="0"/>
        <v>0</v>
      </c>
      <c r="O19" s="124" t="s">
        <v>165</v>
      </c>
      <c r="P19" s="167"/>
      <c r="Q19" s="171">
        <f t="shared" ref="Q19:Q31" si="3">IFERROR(P19/K19*100,)</f>
        <v>0</v>
      </c>
      <c r="R19" s="122" t="s">
        <v>647</v>
      </c>
    </row>
    <row r="20" spans="1:40" ht="409.5" x14ac:dyDescent="0.25">
      <c r="A20" s="136">
        <v>3</v>
      </c>
      <c r="B20" s="586"/>
      <c r="C20" s="275" t="s">
        <v>519</v>
      </c>
      <c r="D20" s="136" t="s">
        <v>533</v>
      </c>
      <c r="E20" s="149" t="s">
        <v>547</v>
      </c>
      <c r="F20" s="123">
        <v>43466</v>
      </c>
      <c r="G20" s="123">
        <v>43830</v>
      </c>
      <c r="H20" s="601"/>
      <c r="I20" s="601"/>
      <c r="J20" s="601"/>
      <c r="K20" s="604"/>
      <c r="L20" s="138">
        <f t="shared" si="1"/>
        <v>0</v>
      </c>
      <c r="M20" s="124">
        <f t="shared" si="2"/>
        <v>0</v>
      </c>
      <c r="N20" s="124">
        <f t="shared" si="0"/>
        <v>0</v>
      </c>
      <c r="O20" s="124" t="s">
        <v>165</v>
      </c>
      <c r="P20" s="167"/>
      <c r="Q20" s="171">
        <f t="shared" si="3"/>
        <v>0</v>
      </c>
      <c r="R20" s="122" t="s">
        <v>647</v>
      </c>
    </row>
    <row r="21" spans="1:40" ht="393.75" x14ac:dyDescent="0.25">
      <c r="A21" s="136">
        <v>4</v>
      </c>
      <c r="B21" s="586"/>
      <c r="C21" s="278" t="s">
        <v>520</v>
      </c>
      <c r="D21" s="278" t="s">
        <v>534</v>
      </c>
      <c r="E21" s="278" t="s">
        <v>548</v>
      </c>
      <c r="F21" s="123">
        <v>43466</v>
      </c>
      <c r="G21" s="123">
        <v>43830</v>
      </c>
      <c r="H21" s="601"/>
      <c r="I21" s="601"/>
      <c r="J21" s="601"/>
      <c r="K21" s="604"/>
      <c r="L21" s="138">
        <f t="shared" si="1"/>
        <v>0</v>
      </c>
      <c r="M21" s="124">
        <f t="shared" si="2"/>
        <v>0</v>
      </c>
      <c r="N21" s="124">
        <f t="shared" si="0"/>
        <v>0</v>
      </c>
      <c r="O21" s="124" t="s">
        <v>165</v>
      </c>
      <c r="P21" s="167"/>
      <c r="Q21" s="171">
        <f t="shared" si="3"/>
        <v>0</v>
      </c>
      <c r="R21" s="122" t="s">
        <v>647</v>
      </c>
    </row>
    <row r="22" spans="1:40" ht="236.25" x14ac:dyDescent="0.25">
      <c r="A22" s="136">
        <v>5</v>
      </c>
      <c r="B22" s="586"/>
      <c r="C22" s="278" t="s">
        <v>521</v>
      </c>
      <c r="D22" s="279" t="s">
        <v>535</v>
      </c>
      <c r="E22" s="149" t="s">
        <v>549</v>
      </c>
      <c r="F22" s="123">
        <v>43466</v>
      </c>
      <c r="G22" s="123">
        <v>43830</v>
      </c>
      <c r="H22" s="601"/>
      <c r="I22" s="601"/>
      <c r="J22" s="601"/>
      <c r="K22" s="604"/>
      <c r="L22" s="138">
        <f t="shared" si="1"/>
        <v>0</v>
      </c>
      <c r="M22" s="124">
        <f t="shared" si="2"/>
        <v>0</v>
      </c>
      <c r="N22" s="124">
        <f t="shared" si="0"/>
        <v>0</v>
      </c>
      <c r="O22" s="124" t="s">
        <v>165</v>
      </c>
      <c r="P22" s="167"/>
      <c r="Q22" s="171">
        <f t="shared" si="3"/>
        <v>0</v>
      </c>
      <c r="R22" s="122" t="s">
        <v>647</v>
      </c>
    </row>
    <row r="23" spans="1:40" ht="409.5" x14ac:dyDescent="0.25">
      <c r="A23" s="136">
        <v>6</v>
      </c>
      <c r="B23" s="586"/>
      <c r="C23" s="279" t="s">
        <v>522</v>
      </c>
      <c r="D23" s="136" t="s">
        <v>536</v>
      </c>
      <c r="E23" s="280" t="s">
        <v>550</v>
      </c>
      <c r="F23" s="123">
        <v>43466</v>
      </c>
      <c r="G23" s="123">
        <v>43830</v>
      </c>
      <c r="H23" s="601"/>
      <c r="I23" s="601"/>
      <c r="J23" s="601"/>
      <c r="K23" s="604"/>
      <c r="L23" s="138">
        <f t="shared" si="1"/>
        <v>0</v>
      </c>
      <c r="M23" s="124">
        <f t="shared" si="2"/>
        <v>0</v>
      </c>
      <c r="N23" s="124">
        <f t="shared" si="0"/>
        <v>0</v>
      </c>
      <c r="O23" s="124" t="s">
        <v>165</v>
      </c>
      <c r="P23" s="167"/>
      <c r="Q23" s="171">
        <f t="shared" si="3"/>
        <v>0</v>
      </c>
      <c r="R23" s="122" t="s">
        <v>647</v>
      </c>
    </row>
    <row r="24" spans="1:40" ht="409.5" x14ac:dyDescent="0.25">
      <c r="A24" s="136">
        <v>7</v>
      </c>
      <c r="B24" s="586"/>
      <c r="C24" s="278" t="s">
        <v>523</v>
      </c>
      <c r="D24" s="278" t="s">
        <v>537</v>
      </c>
      <c r="E24" s="278" t="s">
        <v>551</v>
      </c>
      <c r="F24" s="123">
        <v>43466</v>
      </c>
      <c r="G24" s="123">
        <v>43830</v>
      </c>
      <c r="H24" s="601"/>
      <c r="I24" s="601"/>
      <c r="J24" s="601"/>
      <c r="K24" s="604"/>
      <c r="L24" s="138">
        <f t="shared" si="1"/>
        <v>0</v>
      </c>
      <c r="M24" s="124">
        <f t="shared" si="2"/>
        <v>0</v>
      </c>
      <c r="N24" s="124">
        <f t="shared" si="0"/>
        <v>0</v>
      </c>
      <c r="O24" s="124" t="s">
        <v>165</v>
      </c>
      <c r="P24" s="167"/>
      <c r="Q24" s="171">
        <f t="shared" si="3"/>
        <v>0</v>
      </c>
      <c r="R24" s="122" t="s">
        <v>647</v>
      </c>
    </row>
    <row r="25" spans="1:40" ht="409.5" x14ac:dyDescent="0.25">
      <c r="A25" s="136">
        <v>8</v>
      </c>
      <c r="B25" s="586"/>
      <c r="C25" s="278" t="s">
        <v>524</v>
      </c>
      <c r="D25" s="278" t="s">
        <v>538</v>
      </c>
      <c r="E25" s="281" t="s">
        <v>552</v>
      </c>
      <c r="F25" s="123">
        <v>43466</v>
      </c>
      <c r="G25" s="123">
        <v>43830</v>
      </c>
      <c r="H25" s="601"/>
      <c r="I25" s="601"/>
      <c r="J25" s="601"/>
      <c r="K25" s="604"/>
      <c r="L25" s="138">
        <f t="shared" si="1"/>
        <v>0</v>
      </c>
      <c r="M25" s="124">
        <f t="shared" si="2"/>
        <v>0</v>
      </c>
      <c r="N25" s="124">
        <f t="shared" si="0"/>
        <v>0</v>
      </c>
      <c r="O25" s="124" t="s">
        <v>165</v>
      </c>
      <c r="P25" s="167"/>
      <c r="Q25" s="171">
        <f t="shared" si="3"/>
        <v>0</v>
      </c>
      <c r="R25" s="122" t="s">
        <v>647</v>
      </c>
    </row>
    <row r="26" spans="1:40" ht="288.75" x14ac:dyDescent="0.25">
      <c r="A26" s="136">
        <v>9</v>
      </c>
      <c r="B26" s="586"/>
      <c r="C26" s="278" t="s">
        <v>525</v>
      </c>
      <c r="D26" s="136" t="s">
        <v>539</v>
      </c>
      <c r="E26" s="136" t="s">
        <v>553</v>
      </c>
      <c r="F26" s="123">
        <v>43466</v>
      </c>
      <c r="G26" s="123">
        <v>43830</v>
      </c>
      <c r="H26" s="601"/>
      <c r="I26" s="601"/>
      <c r="J26" s="601"/>
      <c r="K26" s="604"/>
      <c r="L26" s="138">
        <f t="shared" si="1"/>
        <v>0</v>
      </c>
      <c r="M26" s="124">
        <f t="shared" si="2"/>
        <v>0</v>
      </c>
      <c r="N26" s="124">
        <f t="shared" si="0"/>
        <v>0</v>
      </c>
      <c r="O26" s="124" t="s">
        <v>165</v>
      </c>
      <c r="P26" s="167"/>
      <c r="Q26" s="171">
        <f t="shared" si="3"/>
        <v>0</v>
      </c>
      <c r="R26" s="122" t="s">
        <v>647</v>
      </c>
    </row>
    <row r="27" spans="1:40" ht="236.25" x14ac:dyDescent="0.25">
      <c r="A27" s="136">
        <v>10</v>
      </c>
      <c r="B27" s="586"/>
      <c r="C27" s="136" t="s">
        <v>526</v>
      </c>
      <c r="D27" s="136" t="s">
        <v>540</v>
      </c>
      <c r="E27" s="136" t="s">
        <v>554</v>
      </c>
      <c r="F27" s="123">
        <v>43466</v>
      </c>
      <c r="G27" s="123">
        <v>43830</v>
      </c>
      <c r="H27" s="601"/>
      <c r="I27" s="601"/>
      <c r="J27" s="601"/>
      <c r="K27" s="604"/>
      <c r="L27" s="138">
        <f t="shared" ref="L27:L28" si="4">K27-H27</f>
        <v>0</v>
      </c>
      <c r="M27" s="124">
        <f t="shared" ref="M27:M28" si="5">IFERROR(L27/H27*100,0)</f>
        <v>0</v>
      </c>
      <c r="N27" s="124">
        <f t="shared" si="0"/>
        <v>0</v>
      </c>
      <c r="O27" s="124" t="s">
        <v>165</v>
      </c>
      <c r="P27" s="167"/>
      <c r="Q27" s="171">
        <f t="shared" ref="Q27:Q28" si="6">IFERROR(P27/K27*100,)</f>
        <v>0</v>
      </c>
      <c r="R27" s="122" t="s">
        <v>647</v>
      </c>
    </row>
    <row r="28" spans="1:40" ht="78.75" x14ac:dyDescent="0.25">
      <c r="A28" s="136">
        <v>11</v>
      </c>
      <c r="B28" s="586"/>
      <c r="C28" s="278" t="s">
        <v>527</v>
      </c>
      <c r="D28" s="136" t="s">
        <v>541</v>
      </c>
      <c r="E28" s="136" t="s">
        <v>555</v>
      </c>
      <c r="F28" s="123">
        <v>43466</v>
      </c>
      <c r="G28" s="123">
        <v>43830</v>
      </c>
      <c r="H28" s="601"/>
      <c r="I28" s="601"/>
      <c r="J28" s="601"/>
      <c r="K28" s="604"/>
      <c r="L28" s="138">
        <f t="shared" si="4"/>
        <v>0</v>
      </c>
      <c r="M28" s="124">
        <f t="shared" si="5"/>
        <v>0</v>
      </c>
      <c r="N28" s="124">
        <f t="shared" si="0"/>
        <v>0</v>
      </c>
      <c r="O28" s="124" t="s">
        <v>165</v>
      </c>
      <c r="P28" s="167"/>
      <c r="Q28" s="171">
        <f t="shared" si="6"/>
        <v>0</v>
      </c>
      <c r="R28" s="122" t="s">
        <v>647</v>
      </c>
    </row>
    <row r="29" spans="1:40" ht="105" x14ac:dyDescent="0.25">
      <c r="A29" s="136">
        <v>12</v>
      </c>
      <c r="B29" s="586"/>
      <c r="C29" s="278" t="s">
        <v>528</v>
      </c>
      <c r="D29" s="136" t="s">
        <v>542</v>
      </c>
      <c r="E29" s="136" t="s">
        <v>556</v>
      </c>
      <c r="F29" s="123">
        <v>43466</v>
      </c>
      <c r="G29" s="123">
        <v>43830</v>
      </c>
      <c r="H29" s="601"/>
      <c r="I29" s="601"/>
      <c r="J29" s="601"/>
      <c r="K29" s="604"/>
      <c r="L29" s="138">
        <f t="shared" si="1"/>
        <v>0</v>
      </c>
      <c r="M29" s="124">
        <f t="shared" si="2"/>
        <v>0</v>
      </c>
      <c r="N29" s="124">
        <f t="shared" si="0"/>
        <v>0</v>
      </c>
      <c r="O29" s="124" t="s">
        <v>165</v>
      </c>
      <c r="P29" s="167"/>
      <c r="Q29" s="171">
        <f t="shared" si="3"/>
        <v>0</v>
      </c>
      <c r="R29" s="122" t="s">
        <v>647</v>
      </c>
    </row>
    <row r="30" spans="1:40" ht="341.25" x14ac:dyDescent="0.25">
      <c r="A30" s="136">
        <v>13</v>
      </c>
      <c r="B30" s="586"/>
      <c r="C30" s="278" t="s">
        <v>529</v>
      </c>
      <c r="D30" s="136" t="s">
        <v>543</v>
      </c>
      <c r="E30" s="136" t="s">
        <v>557</v>
      </c>
      <c r="F30" s="123">
        <v>43466</v>
      </c>
      <c r="G30" s="123">
        <v>43830</v>
      </c>
      <c r="H30" s="601"/>
      <c r="I30" s="601"/>
      <c r="J30" s="601"/>
      <c r="K30" s="604"/>
      <c r="L30" s="138">
        <f t="shared" ref="L30" si="7">K30-H30</f>
        <v>0</v>
      </c>
      <c r="M30" s="124">
        <f t="shared" ref="M30" si="8">IFERROR(L30/H30*100,0)</f>
        <v>0</v>
      </c>
      <c r="N30" s="124">
        <f t="shared" si="0"/>
        <v>0</v>
      </c>
      <c r="O30" s="124" t="s">
        <v>165</v>
      </c>
      <c r="P30" s="167"/>
      <c r="Q30" s="171">
        <f t="shared" ref="Q30" si="9">IFERROR(P30/K30*100,)</f>
        <v>0</v>
      </c>
      <c r="R30" s="122" t="s">
        <v>647</v>
      </c>
    </row>
    <row r="31" spans="1:40" ht="210" x14ac:dyDescent="0.25">
      <c r="A31" s="136">
        <v>14</v>
      </c>
      <c r="B31" s="587"/>
      <c r="C31" s="278" t="s">
        <v>530</v>
      </c>
      <c r="D31" s="278" t="s">
        <v>544</v>
      </c>
      <c r="E31" s="136" t="s">
        <v>558</v>
      </c>
      <c r="F31" s="123">
        <v>43466</v>
      </c>
      <c r="G31" s="123">
        <v>43830</v>
      </c>
      <c r="H31" s="602"/>
      <c r="I31" s="602"/>
      <c r="J31" s="602"/>
      <c r="K31" s="605"/>
      <c r="L31" s="138">
        <f t="shared" si="1"/>
        <v>0</v>
      </c>
      <c r="M31" s="124">
        <f t="shared" si="2"/>
        <v>0</v>
      </c>
      <c r="N31" s="124">
        <f t="shared" si="0"/>
        <v>0</v>
      </c>
      <c r="O31" s="124" t="s">
        <v>165</v>
      </c>
      <c r="P31" s="167"/>
      <c r="Q31" s="171">
        <f t="shared" si="3"/>
        <v>0</v>
      </c>
      <c r="R31" s="122" t="s">
        <v>647</v>
      </c>
    </row>
    <row r="32" spans="1:40" s="3" customFormat="1" ht="24.75" customHeight="1" x14ac:dyDescent="0.4">
      <c r="A32" s="597" t="s">
        <v>3</v>
      </c>
      <c r="B32" s="598"/>
      <c r="C32" s="598"/>
      <c r="D32" s="598"/>
      <c r="E32" s="598"/>
      <c r="F32" s="598"/>
      <c r="G32" s="599"/>
      <c r="H32" s="139">
        <f>SUM(H18:H31)</f>
        <v>202333</v>
      </c>
      <c r="I32" s="139">
        <f>SUM(I18:I31)</f>
        <v>56777</v>
      </c>
      <c r="J32" s="139">
        <f>SUM(J18:J31)</f>
        <v>149778</v>
      </c>
      <c r="K32" s="139">
        <f>SUM(K18:K31)</f>
        <v>206555</v>
      </c>
      <c r="L32" s="169">
        <f t="shared" si="1"/>
        <v>4222</v>
      </c>
      <c r="M32" s="170">
        <f>IFERROR(L32/H32*100,0)</f>
        <v>2.0866591213494585</v>
      </c>
      <c r="N32" s="170">
        <f>SUM(N18:N31)</f>
        <v>100</v>
      </c>
      <c r="O32" s="170"/>
      <c r="P32" s="168">
        <f>SUM(P18:P31)</f>
        <v>0</v>
      </c>
      <c r="Q32" s="140">
        <f>IFERROR(P32/K32*100,)</f>
        <v>0</v>
      </c>
      <c r="R32" s="140"/>
    </row>
    <row r="33" spans="1:18" s="3" customFormat="1" ht="24.75" customHeight="1" x14ac:dyDescent="0.4">
      <c r="A33" s="298"/>
      <c r="B33" s="298"/>
      <c r="C33" s="298"/>
      <c r="D33" s="298"/>
      <c r="E33" s="298"/>
      <c r="F33" s="298"/>
      <c r="G33" s="298"/>
      <c r="H33" s="307"/>
      <c r="I33" s="307"/>
      <c r="J33" s="307"/>
      <c r="K33" s="307"/>
      <c r="L33" s="299"/>
      <c r="M33" s="300"/>
      <c r="N33" s="300"/>
      <c r="O33" s="300"/>
      <c r="P33" s="301"/>
      <c r="Q33" s="302"/>
      <c r="R33" s="302"/>
    </row>
    <row r="34" spans="1:18" s="3" customFormat="1" ht="24.75" customHeight="1" x14ac:dyDescent="0.4">
      <c r="A34" s="298"/>
      <c r="B34" s="298"/>
      <c r="C34" s="298"/>
      <c r="D34" s="298"/>
      <c r="E34" s="298"/>
      <c r="F34" s="298"/>
      <c r="G34" s="298"/>
      <c r="H34" s="362"/>
      <c r="I34" s="362"/>
      <c r="J34" s="362"/>
      <c r="K34" s="362"/>
      <c r="L34" s="299"/>
      <c r="M34" s="300"/>
      <c r="N34" s="300"/>
      <c r="O34" s="300"/>
      <c r="P34" s="301"/>
      <c r="Q34" s="302"/>
      <c r="R34" s="302"/>
    </row>
    <row r="35" spans="1:18" x14ac:dyDescent="0.4">
      <c r="A35" s="589" t="s">
        <v>116</v>
      </c>
      <c r="B35" s="589"/>
      <c r="C35" s="589"/>
      <c r="D35" s="589"/>
      <c r="E35" s="589"/>
      <c r="F35" s="589"/>
      <c r="G35" s="589"/>
      <c r="H35" s="589"/>
      <c r="I35" s="589"/>
      <c r="J35" s="589"/>
      <c r="K35" s="589"/>
      <c r="L35" s="589"/>
      <c r="M35" s="589"/>
      <c r="N35" s="589"/>
      <c r="O35" s="589"/>
      <c r="P35" s="589"/>
      <c r="Q35" s="589"/>
      <c r="R35" s="589"/>
    </row>
    <row r="36" spans="1:18" ht="36" customHeight="1" x14ac:dyDescent="0.25">
      <c r="A36" s="590" t="s">
        <v>179</v>
      </c>
      <c r="B36" s="591"/>
      <c r="C36" s="591"/>
      <c r="D36" s="591"/>
      <c r="E36" s="591"/>
      <c r="F36" s="591"/>
      <c r="G36" s="591"/>
      <c r="H36" s="591"/>
      <c r="I36" s="591"/>
      <c r="J36" s="591"/>
      <c r="K36" s="591"/>
      <c r="L36" s="591"/>
      <c r="M36" s="591"/>
      <c r="N36" s="591"/>
      <c r="O36" s="591"/>
      <c r="P36" s="591"/>
      <c r="Q36" s="591"/>
      <c r="R36" s="592"/>
    </row>
    <row r="37" spans="1:18" ht="95.25" customHeight="1" x14ac:dyDescent="0.4">
      <c r="A37" s="593"/>
      <c r="B37" s="594"/>
      <c r="C37" s="594"/>
      <c r="D37" s="594"/>
      <c r="E37" s="594"/>
      <c r="F37" s="594"/>
      <c r="G37" s="594"/>
      <c r="H37" s="594"/>
      <c r="I37" s="594"/>
      <c r="J37" s="594"/>
      <c r="K37" s="594"/>
      <c r="L37" s="594"/>
      <c r="M37" s="594"/>
      <c r="N37" s="594"/>
      <c r="O37" s="594"/>
      <c r="P37" s="594"/>
      <c r="Q37" s="594"/>
      <c r="R37" s="595"/>
    </row>
    <row r="38" spans="1:18" ht="15" hidden="1" customHeight="1" x14ac:dyDescent="0.4">
      <c r="A38" s="596" t="s">
        <v>12</v>
      </c>
      <c r="B38" s="596"/>
      <c r="C38" s="596"/>
      <c r="D38" s="596"/>
      <c r="E38" s="596"/>
      <c r="F38" s="596"/>
      <c r="G38" s="141"/>
      <c r="H38" s="141"/>
      <c r="I38" s="141"/>
      <c r="J38" s="141"/>
      <c r="K38" s="141"/>
      <c r="L38" s="141"/>
      <c r="M38" s="141"/>
      <c r="N38" s="141"/>
      <c r="O38" s="141"/>
      <c r="P38" s="141"/>
      <c r="Q38" s="141"/>
      <c r="R38" s="141"/>
    </row>
    <row r="39" spans="1:18" ht="15" hidden="1" customHeight="1" x14ac:dyDescent="0.4">
      <c r="A39" s="142" t="s">
        <v>16</v>
      </c>
      <c r="B39" s="142"/>
      <c r="C39" s="588" t="s">
        <v>20</v>
      </c>
      <c r="D39" s="588"/>
      <c r="E39" s="588"/>
      <c r="F39" s="588"/>
      <c r="P39" s="77"/>
      <c r="Q39" s="77"/>
      <c r="R39" s="77"/>
    </row>
    <row r="40" spans="1:18" ht="15" hidden="1" customHeight="1" x14ac:dyDescent="0.4">
      <c r="A40" s="142" t="s">
        <v>17</v>
      </c>
      <c r="B40" s="142"/>
      <c r="C40" s="588" t="s">
        <v>13</v>
      </c>
      <c r="D40" s="588"/>
      <c r="E40" s="588"/>
      <c r="F40" s="588"/>
      <c r="P40" s="77"/>
      <c r="Q40" s="77"/>
      <c r="R40" s="77"/>
    </row>
    <row r="41" spans="1:18" ht="15" hidden="1" customHeight="1" x14ac:dyDescent="0.4">
      <c r="A41" s="142" t="s">
        <v>18</v>
      </c>
      <c r="B41" s="142"/>
      <c r="C41" s="588" t="s">
        <v>14</v>
      </c>
      <c r="D41" s="588"/>
      <c r="E41" s="588"/>
      <c r="F41" s="588"/>
      <c r="P41" s="77"/>
      <c r="Q41" s="77"/>
      <c r="R41" s="77"/>
    </row>
    <row r="42" spans="1:18" ht="15" hidden="1" customHeight="1" x14ac:dyDescent="0.4">
      <c r="A42" s="142" t="s">
        <v>19</v>
      </c>
      <c r="B42" s="142"/>
      <c r="C42" s="588" t="s">
        <v>15</v>
      </c>
      <c r="D42" s="588"/>
      <c r="E42" s="588"/>
      <c r="F42" s="588"/>
      <c r="P42" s="77"/>
      <c r="Q42" s="77"/>
      <c r="R42" s="77"/>
    </row>
    <row r="43" spans="1:18" ht="35.25" customHeight="1" x14ac:dyDescent="0.4"/>
  </sheetData>
  <sheetProtection formatCells="0" formatRows="0" insertRows="0" deleteRows="0"/>
  <mergeCells count="50">
    <mergeCell ref="N15:N17"/>
    <mergeCell ref="P15:Q15"/>
    <mergeCell ref="B15:B17"/>
    <mergeCell ref="L16:L17"/>
    <mergeCell ref="M16:M17"/>
    <mergeCell ref="I16:K16"/>
    <mergeCell ref="P16:P17"/>
    <mergeCell ref="Q16:Q17"/>
    <mergeCell ref="C42:F42"/>
    <mergeCell ref="A32:G32"/>
    <mergeCell ref="A35:R35"/>
    <mergeCell ref="A36:R36"/>
    <mergeCell ref="A37:R37"/>
    <mergeCell ref="A38:F38"/>
    <mergeCell ref="C39:F39"/>
    <mergeCell ref="A15:A17"/>
    <mergeCell ref="C40:F40"/>
    <mergeCell ref="C41:F41"/>
    <mergeCell ref="L15:M15"/>
    <mergeCell ref="G16:G17"/>
    <mergeCell ref="C15:E15"/>
    <mergeCell ref="F15:G15"/>
    <mergeCell ref="H15:K15"/>
    <mergeCell ref="H16:H17"/>
    <mergeCell ref="H18:H31"/>
    <mergeCell ref="I18:I31"/>
    <mergeCell ref="J18:J31"/>
    <mergeCell ref="K18:K31"/>
    <mergeCell ref="B18:B31"/>
    <mergeCell ref="A6:R6"/>
    <mergeCell ref="A7:F7"/>
    <mergeCell ref="G7:R7"/>
    <mergeCell ref="A8:F8"/>
    <mergeCell ref="G8:R8"/>
    <mergeCell ref="A12:F12"/>
    <mergeCell ref="G12:R12"/>
    <mergeCell ref="O15:O17"/>
    <mergeCell ref="A9:F9"/>
    <mergeCell ref="G9:R9"/>
    <mergeCell ref="A10:F10"/>
    <mergeCell ref="G10:R10"/>
    <mergeCell ref="A11:F11"/>
    <mergeCell ref="G11:R11"/>
    <mergeCell ref="A13:F13"/>
    <mergeCell ref="G13:R13"/>
    <mergeCell ref="A14:R14"/>
    <mergeCell ref="R15:R17"/>
    <mergeCell ref="C16:C17"/>
    <mergeCell ref="D16:E16"/>
    <mergeCell ref="F16:F17"/>
  </mergeCells>
  <dataValidations count="1">
    <dataValidation type="list" allowBlank="1" showInputMessage="1" showErrorMessage="1" sqref="O18:O31">
      <formula1>$AN$17:$AN$18</formula1>
    </dataValidation>
  </dataValidations>
  <pageMargins left="0.511811024" right="0.511811024" top="0.78740157499999996" bottom="0.78740157499999996" header="0.31496062000000002" footer="0.31496062000000002"/>
  <pageSetup paperSize="9" scale="62" orientation="landscape" r:id="rId1"/>
  <ignoredErrors>
    <ignoredError sqref="K1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AN31"/>
  <sheetViews>
    <sheetView showGridLines="0" topLeftCell="A7" zoomScale="40" zoomScaleNormal="40" zoomScaleSheetLayoutView="80" workbookViewId="0">
      <selection activeCell="J35" sqref="J35"/>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374</v>
      </c>
      <c r="H7" s="572"/>
      <c r="I7" s="572"/>
      <c r="J7" s="572"/>
      <c r="K7" s="572"/>
      <c r="L7" s="572"/>
      <c r="M7" s="572"/>
      <c r="N7" s="572"/>
      <c r="O7" s="572"/>
      <c r="P7" s="572"/>
      <c r="Q7" s="572"/>
      <c r="R7" s="572"/>
      <c r="S7" s="2" t="b">
        <f>G7='Quadro Geral'!A15</f>
        <v>1</v>
      </c>
    </row>
    <row r="8" spans="1:19" ht="54" customHeight="1" x14ac:dyDescent="0.4">
      <c r="A8" s="571" t="s">
        <v>140</v>
      </c>
      <c r="B8" s="571"/>
      <c r="C8" s="571"/>
      <c r="D8" s="571"/>
      <c r="E8" s="571"/>
      <c r="F8" s="571"/>
      <c r="G8" s="572" t="s">
        <v>648</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392</v>
      </c>
      <c r="H10" s="572"/>
      <c r="I10" s="572"/>
      <c r="J10" s="572"/>
      <c r="K10" s="572"/>
      <c r="L10" s="572"/>
      <c r="M10" s="572"/>
      <c r="N10" s="572"/>
      <c r="O10" s="572"/>
      <c r="P10" s="572"/>
      <c r="Q10" s="572"/>
      <c r="R10" s="572"/>
      <c r="S10" s="2" t="b">
        <f>G10='Quadro Geral'!E15</f>
        <v>1</v>
      </c>
    </row>
    <row r="11" spans="1:19" ht="54" customHeight="1" x14ac:dyDescent="0.4">
      <c r="A11" s="571" t="s">
        <v>154</v>
      </c>
      <c r="B11" s="571"/>
      <c r="C11" s="571"/>
      <c r="D11" s="571"/>
      <c r="E11" s="571"/>
      <c r="F11" s="571"/>
      <c r="G11" s="572" t="s">
        <v>420</v>
      </c>
      <c r="H11" s="572"/>
      <c r="I11" s="572"/>
      <c r="J11" s="572"/>
      <c r="K11" s="572"/>
      <c r="L11" s="572"/>
      <c r="M11" s="572"/>
      <c r="N11" s="572"/>
      <c r="O11" s="572"/>
      <c r="P11" s="572"/>
      <c r="Q11" s="572"/>
      <c r="R11" s="572"/>
      <c r="S11" s="2" t="b">
        <f>G11='Quadro Geral'!F15</f>
        <v>1</v>
      </c>
    </row>
    <row r="12" spans="1:19" ht="54" customHeight="1" x14ac:dyDescent="0.4">
      <c r="A12" s="571" t="s">
        <v>142</v>
      </c>
      <c r="B12" s="571"/>
      <c r="C12" s="571"/>
      <c r="D12" s="571"/>
      <c r="E12" s="571"/>
      <c r="F12" s="571"/>
      <c r="G12" s="572" t="s">
        <v>62</v>
      </c>
      <c r="H12" s="572"/>
      <c r="I12" s="572"/>
      <c r="J12" s="572"/>
      <c r="K12" s="572"/>
      <c r="L12" s="572"/>
      <c r="M12" s="572"/>
      <c r="N12" s="572"/>
      <c r="O12" s="572"/>
      <c r="P12" s="572"/>
      <c r="Q12" s="572"/>
      <c r="R12" s="572"/>
      <c r="S12" s="2" t="b">
        <f>G12='Quadro Geral'!G15</f>
        <v>1</v>
      </c>
    </row>
    <row r="13" spans="1:19" ht="54" customHeight="1" x14ac:dyDescent="0.4">
      <c r="A13" s="383" t="s">
        <v>155</v>
      </c>
      <c r="B13" s="383"/>
      <c r="C13" s="383"/>
      <c r="D13" s="383"/>
      <c r="E13" s="383"/>
      <c r="F13" s="383"/>
      <c r="G13" s="573" t="s">
        <v>448</v>
      </c>
      <c r="H13" s="573"/>
      <c r="I13" s="573"/>
      <c r="J13" s="573"/>
      <c r="K13" s="573"/>
      <c r="L13" s="573"/>
      <c r="M13" s="573"/>
      <c r="N13" s="573"/>
      <c r="O13" s="573"/>
      <c r="P13" s="573"/>
      <c r="Q13" s="573"/>
      <c r="R13" s="573"/>
      <c r="S13" s="2" t="b">
        <f>G13='Quadro Geral'!H15</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57.5" x14ac:dyDescent="0.25">
      <c r="A18" s="136">
        <v>1</v>
      </c>
      <c r="B18" s="585" t="s">
        <v>641</v>
      </c>
      <c r="C18" s="122" t="s">
        <v>559</v>
      </c>
      <c r="D18" s="122" t="s">
        <v>560</v>
      </c>
      <c r="E18" s="122" t="s">
        <v>561</v>
      </c>
      <c r="F18" s="123">
        <v>43466</v>
      </c>
      <c r="G18" s="123">
        <v>43830</v>
      </c>
      <c r="H18" s="600">
        <v>124063</v>
      </c>
      <c r="I18" s="600">
        <v>43804</v>
      </c>
      <c r="J18" s="600">
        <v>99319</v>
      </c>
      <c r="K18" s="603">
        <f>I18+J18</f>
        <v>143123</v>
      </c>
      <c r="L18" s="138">
        <f>K18-H18</f>
        <v>19060</v>
      </c>
      <c r="M18" s="124">
        <f>IFERROR(L18/H18*100,0)</f>
        <v>15.363162264333443</v>
      </c>
      <c r="N18" s="124">
        <f>IFERROR(K18/$K$20*100,0)</f>
        <v>100</v>
      </c>
      <c r="O18" s="124" t="s">
        <v>165</v>
      </c>
      <c r="P18" s="167"/>
      <c r="Q18" s="171">
        <f>IFERROR(P18/K18*100,)</f>
        <v>0</v>
      </c>
      <c r="R18" s="122" t="s">
        <v>648</v>
      </c>
      <c r="AN18" s="2" t="s">
        <v>237</v>
      </c>
    </row>
    <row r="19" spans="1:40" ht="318.75" customHeight="1" x14ac:dyDescent="0.25">
      <c r="A19" s="136">
        <v>2</v>
      </c>
      <c r="B19" s="587"/>
      <c r="C19" s="122" t="s">
        <v>562</v>
      </c>
      <c r="D19" s="122" t="s">
        <v>563</v>
      </c>
      <c r="E19" s="122" t="s">
        <v>564</v>
      </c>
      <c r="F19" s="123">
        <v>43466</v>
      </c>
      <c r="G19" s="123">
        <v>43830</v>
      </c>
      <c r="H19" s="602"/>
      <c r="I19" s="602"/>
      <c r="J19" s="602"/>
      <c r="K19" s="605"/>
      <c r="L19" s="138">
        <f t="shared" ref="L19:L20" si="0">K19-H19</f>
        <v>0</v>
      </c>
      <c r="M19" s="124">
        <f t="shared" ref="M19" si="1">IFERROR(L19/H19*100,0)</f>
        <v>0</v>
      </c>
      <c r="N19" s="124">
        <f>IFERROR(K19/$K$20*100,0)</f>
        <v>0</v>
      </c>
      <c r="O19" s="124" t="s">
        <v>165</v>
      </c>
      <c r="P19" s="167"/>
      <c r="Q19" s="171">
        <f t="shared" ref="Q19" si="2">IFERROR(P19/K19*100,)</f>
        <v>0</v>
      </c>
      <c r="R19" s="122" t="s">
        <v>648</v>
      </c>
    </row>
    <row r="20" spans="1:40" s="3" customFormat="1" ht="24.75" customHeight="1" x14ac:dyDescent="0.4">
      <c r="A20" s="597" t="s">
        <v>3</v>
      </c>
      <c r="B20" s="598"/>
      <c r="C20" s="598"/>
      <c r="D20" s="598"/>
      <c r="E20" s="598"/>
      <c r="F20" s="598"/>
      <c r="G20" s="599"/>
      <c r="H20" s="169">
        <f>SUM(H18:H19)</f>
        <v>124063</v>
      </c>
      <c r="I20" s="169">
        <f>SUM(I18:I19)</f>
        <v>43804</v>
      </c>
      <c r="J20" s="169">
        <f>SUM(J18:J19)</f>
        <v>99319</v>
      </c>
      <c r="K20" s="169">
        <f>SUM(K18:K19)</f>
        <v>143123</v>
      </c>
      <c r="L20" s="169">
        <f t="shared" si="0"/>
        <v>19060</v>
      </c>
      <c r="M20" s="170">
        <f>IFERROR(L20/H20*100,0)</f>
        <v>15.363162264333443</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298"/>
      <c r="I21" s="298"/>
      <c r="J21" s="298"/>
      <c r="K21" s="298"/>
      <c r="L21" s="299"/>
      <c r="M21" s="300"/>
      <c r="N21" s="300"/>
      <c r="O21" s="300"/>
      <c r="P21" s="301"/>
      <c r="Q21" s="302"/>
      <c r="R21" s="302"/>
    </row>
    <row r="22" spans="1:40" s="3" customFormat="1" ht="24.75" customHeight="1" x14ac:dyDescent="0.4">
      <c r="A22" s="298"/>
      <c r="B22" s="298"/>
      <c r="C22" s="298"/>
      <c r="D22" s="298"/>
      <c r="E22" s="298"/>
      <c r="F22" s="298"/>
      <c r="G22" s="298"/>
      <c r="H22" s="298"/>
      <c r="I22" s="298"/>
      <c r="J22" s="298"/>
      <c r="K22" s="298"/>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50">
    <mergeCell ref="B18:B19"/>
    <mergeCell ref="C29:F29"/>
    <mergeCell ref="C30:F30"/>
    <mergeCell ref="A23:R23"/>
    <mergeCell ref="A24:R24"/>
    <mergeCell ref="A25:R25"/>
    <mergeCell ref="A26:F26"/>
    <mergeCell ref="C27:F27"/>
    <mergeCell ref="C28:F28"/>
    <mergeCell ref="A20:G20"/>
    <mergeCell ref="H18:H19"/>
    <mergeCell ref="I18:I19"/>
    <mergeCell ref="J18:J19"/>
    <mergeCell ref="K18:K19"/>
    <mergeCell ref="A15:A17"/>
    <mergeCell ref="B15:B17"/>
    <mergeCell ref="I16:K16"/>
    <mergeCell ref="L16:L17"/>
    <mergeCell ref="M16:M17"/>
    <mergeCell ref="R15:R17"/>
    <mergeCell ref="C16:C17"/>
    <mergeCell ref="D16:E16"/>
    <mergeCell ref="F16:F17"/>
    <mergeCell ref="G16:G17"/>
    <mergeCell ref="H16:H17"/>
    <mergeCell ref="C15:E15"/>
    <mergeCell ref="F15:G15"/>
    <mergeCell ref="H15:K15"/>
    <mergeCell ref="L15:M15"/>
    <mergeCell ref="N15:N17"/>
    <mergeCell ref="O15:O17"/>
    <mergeCell ref="P15:Q15"/>
    <mergeCell ref="P16:P17"/>
    <mergeCell ref="Q16:Q17"/>
    <mergeCell ref="A12:F12"/>
    <mergeCell ref="G12:R12"/>
    <mergeCell ref="A13:F13"/>
    <mergeCell ref="G13:R13"/>
    <mergeCell ref="A14:R14"/>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G12:R12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1"/>
  <sheetViews>
    <sheetView showGridLines="0" topLeftCell="A7" zoomScale="40" zoomScaleNormal="40" zoomScaleSheetLayoutView="80" workbookViewId="0">
      <selection activeCell="H21" sqref="H21:K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375</v>
      </c>
      <c r="H7" s="572"/>
      <c r="I7" s="572"/>
      <c r="J7" s="572"/>
      <c r="K7" s="572"/>
      <c r="L7" s="572"/>
      <c r="M7" s="572"/>
      <c r="N7" s="572"/>
      <c r="O7" s="572"/>
      <c r="P7" s="572"/>
      <c r="Q7" s="572"/>
      <c r="R7" s="572"/>
      <c r="S7" s="2" t="b">
        <f>G7='Quadro Geral'!A16</f>
        <v>1</v>
      </c>
    </row>
    <row r="8" spans="1:19" ht="54" customHeight="1" x14ac:dyDescent="0.4">
      <c r="A8" s="571" t="s">
        <v>140</v>
      </c>
      <c r="B8" s="571"/>
      <c r="C8" s="571"/>
      <c r="D8" s="571"/>
      <c r="E8" s="571"/>
      <c r="F8" s="571"/>
      <c r="G8" s="572" t="s">
        <v>649</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393</v>
      </c>
      <c r="H10" s="572"/>
      <c r="I10" s="572"/>
      <c r="J10" s="572"/>
      <c r="K10" s="572"/>
      <c r="L10" s="572"/>
      <c r="M10" s="572"/>
      <c r="N10" s="572"/>
      <c r="O10" s="572"/>
      <c r="P10" s="572"/>
      <c r="Q10" s="572"/>
      <c r="R10" s="572"/>
      <c r="S10" s="2" t="b">
        <f>G10='Quadro Geral'!E16</f>
        <v>1</v>
      </c>
    </row>
    <row r="11" spans="1:19" ht="54" customHeight="1" x14ac:dyDescent="0.4">
      <c r="A11" s="571" t="s">
        <v>154</v>
      </c>
      <c r="B11" s="571"/>
      <c r="C11" s="571"/>
      <c r="D11" s="571"/>
      <c r="E11" s="571"/>
      <c r="F11" s="571"/>
      <c r="G11" s="572" t="s">
        <v>421</v>
      </c>
      <c r="H11" s="572"/>
      <c r="I11" s="572"/>
      <c r="J11" s="572"/>
      <c r="K11" s="572"/>
      <c r="L11" s="572"/>
      <c r="M11" s="572"/>
      <c r="N11" s="572"/>
      <c r="O11" s="572"/>
      <c r="P11" s="572"/>
      <c r="Q11" s="572"/>
      <c r="R11" s="572"/>
      <c r="S11" s="2" t="b">
        <f>G11='Quadro Geral'!F16</f>
        <v>1</v>
      </c>
    </row>
    <row r="12" spans="1:19" ht="54" customHeight="1" x14ac:dyDescent="0.4">
      <c r="A12" s="571" t="s">
        <v>142</v>
      </c>
      <c r="B12" s="571"/>
      <c r="C12" s="571"/>
      <c r="D12" s="571"/>
      <c r="E12" s="571"/>
      <c r="F12" s="571"/>
      <c r="G12" s="572" t="s">
        <v>65</v>
      </c>
      <c r="H12" s="572"/>
      <c r="I12" s="572"/>
      <c r="J12" s="572"/>
      <c r="K12" s="572"/>
      <c r="L12" s="572"/>
      <c r="M12" s="572"/>
      <c r="N12" s="572"/>
      <c r="O12" s="572"/>
      <c r="P12" s="572"/>
      <c r="Q12" s="572"/>
      <c r="R12" s="572"/>
      <c r="S12" s="2" t="b">
        <f>G12='Quadro Geral'!G16</f>
        <v>1</v>
      </c>
    </row>
    <row r="13" spans="1:19" ht="54" customHeight="1" x14ac:dyDescent="0.4">
      <c r="A13" s="383" t="s">
        <v>155</v>
      </c>
      <c r="B13" s="383"/>
      <c r="C13" s="383"/>
      <c r="D13" s="383"/>
      <c r="E13" s="383"/>
      <c r="F13" s="383"/>
      <c r="G13" s="573" t="s">
        <v>449</v>
      </c>
      <c r="H13" s="573"/>
      <c r="I13" s="573"/>
      <c r="J13" s="573"/>
      <c r="K13" s="573"/>
      <c r="L13" s="573"/>
      <c r="M13" s="573"/>
      <c r="N13" s="573"/>
      <c r="O13" s="573"/>
      <c r="P13" s="573"/>
      <c r="Q13" s="573"/>
      <c r="R13" s="573"/>
      <c r="S13" s="2" t="b">
        <f>G13='Quadro Geral'!H16</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315" x14ac:dyDescent="0.25">
      <c r="A18" s="136">
        <v>1</v>
      </c>
      <c r="B18" s="585" t="s">
        <v>641</v>
      </c>
      <c r="C18" s="122" t="s">
        <v>565</v>
      </c>
      <c r="D18" s="122" t="s">
        <v>566</v>
      </c>
      <c r="E18" s="122" t="s">
        <v>567</v>
      </c>
      <c r="F18" s="123">
        <v>43466</v>
      </c>
      <c r="G18" s="123">
        <v>43830</v>
      </c>
      <c r="H18" s="600">
        <v>6000</v>
      </c>
      <c r="I18" s="600">
        <v>2100</v>
      </c>
      <c r="J18" s="600">
        <v>8900</v>
      </c>
      <c r="K18" s="603">
        <f>I18+J18</f>
        <v>11000</v>
      </c>
      <c r="L18" s="138">
        <f>K18-H18</f>
        <v>5000</v>
      </c>
      <c r="M18" s="124">
        <f>IFERROR(L18/H18*100,0)</f>
        <v>83.333333333333343</v>
      </c>
      <c r="N18" s="124">
        <f>IFERROR(K18/$K$20*100,0)</f>
        <v>100</v>
      </c>
      <c r="O18" s="124" t="s">
        <v>165</v>
      </c>
      <c r="P18" s="167"/>
      <c r="Q18" s="171">
        <f>IFERROR(P18/K18*100,)</f>
        <v>0</v>
      </c>
      <c r="R18" s="122" t="s">
        <v>649</v>
      </c>
      <c r="AN18" s="2" t="s">
        <v>237</v>
      </c>
    </row>
    <row r="19" spans="1:40" ht="157.5" x14ac:dyDescent="0.25">
      <c r="A19" s="136">
        <v>2</v>
      </c>
      <c r="B19" s="587"/>
      <c r="C19" s="122" t="s">
        <v>568</v>
      </c>
      <c r="D19" s="122" t="s">
        <v>569</v>
      </c>
      <c r="E19" s="122" t="s">
        <v>570</v>
      </c>
      <c r="F19" s="123">
        <v>43466</v>
      </c>
      <c r="G19" s="123">
        <v>43830</v>
      </c>
      <c r="H19" s="602"/>
      <c r="I19" s="602"/>
      <c r="J19" s="602"/>
      <c r="K19" s="605"/>
      <c r="L19" s="138">
        <f t="shared" ref="L19:L20" si="0">K19-H19</f>
        <v>0</v>
      </c>
      <c r="M19" s="124">
        <f t="shared" ref="M19" si="1">IFERROR(L19/H19*100,0)</f>
        <v>0</v>
      </c>
      <c r="N19" s="124">
        <f>IFERROR(K19/$K$20*100,0)</f>
        <v>0</v>
      </c>
      <c r="O19" s="124" t="s">
        <v>165</v>
      </c>
      <c r="P19" s="167"/>
      <c r="Q19" s="171">
        <f t="shared" ref="Q19" si="2">IFERROR(P19/K19*100,)</f>
        <v>0</v>
      </c>
      <c r="R19" s="122" t="s">
        <v>649</v>
      </c>
    </row>
    <row r="20" spans="1:40" s="3" customFormat="1" ht="24.75" customHeight="1" x14ac:dyDescent="0.4">
      <c r="A20" s="597" t="s">
        <v>3</v>
      </c>
      <c r="B20" s="598"/>
      <c r="C20" s="598"/>
      <c r="D20" s="598"/>
      <c r="E20" s="598"/>
      <c r="F20" s="598"/>
      <c r="G20" s="599"/>
      <c r="H20" s="139">
        <f>SUM(H18:H19)</f>
        <v>6000</v>
      </c>
      <c r="I20" s="139">
        <f>SUM(I18:I19)</f>
        <v>2100</v>
      </c>
      <c r="J20" s="139">
        <f>SUM(J18:J19)</f>
        <v>8900</v>
      </c>
      <c r="K20" s="139">
        <f>SUM(K18:K19)</f>
        <v>11000</v>
      </c>
      <c r="L20" s="169">
        <f t="shared" si="0"/>
        <v>5000</v>
      </c>
      <c r="M20" s="170">
        <f>IFERROR(L20/H20*100,0)</f>
        <v>83.333333333333343</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s="3" customFormat="1" ht="24.75" customHeight="1" x14ac:dyDescent="0.4">
      <c r="A22" s="298"/>
      <c r="B22" s="298"/>
      <c r="C22" s="298"/>
      <c r="D22" s="298"/>
      <c r="E22" s="298"/>
      <c r="F22" s="298"/>
      <c r="G22" s="298"/>
      <c r="H22" s="307"/>
      <c r="I22" s="307"/>
      <c r="J22" s="307"/>
      <c r="K22" s="307"/>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50">
    <mergeCell ref="B18:B19"/>
    <mergeCell ref="C29:F29"/>
    <mergeCell ref="C30:F30"/>
    <mergeCell ref="A23:R23"/>
    <mergeCell ref="A24:R24"/>
    <mergeCell ref="A25:R25"/>
    <mergeCell ref="A26:F26"/>
    <mergeCell ref="C27:F27"/>
    <mergeCell ref="C28:F28"/>
    <mergeCell ref="A20:G20"/>
    <mergeCell ref="H18:H19"/>
    <mergeCell ref="I18:I19"/>
    <mergeCell ref="J18:J19"/>
    <mergeCell ref="K18:K19"/>
    <mergeCell ref="A15:A17"/>
    <mergeCell ref="B15:B17"/>
    <mergeCell ref="I16:K16"/>
    <mergeCell ref="L16:L17"/>
    <mergeCell ref="M16:M17"/>
    <mergeCell ref="R15:R17"/>
    <mergeCell ref="C16:C17"/>
    <mergeCell ref="D16:E16"/>
    <mergeCell ref="F16:F17"/>
    <mergeCell ref="G16:G17"/>
    <mergeCell ref="H16:H17"/>
    <mergeCell ref="C15:E15"/>
    <mergeCell ref="F15:G15"/>
    <mergeCell ref="H15:K15"/>
    <mergeCell ref="L15:M15"/>
    <mergeCell ref="N15:N17"/>
    <mergeCell ref="O15:O17"/>
    <mergeCell ref="P15:Q15"/>
    <mergeCell ref="P16:P17"/>
    <mergeCell ref="Q16:Q17"/>
    <mergeCell ref="A12:F12"/>
    <mergeCell ref="G12:R12"/>
    <mergeCell ref="A13:F13"/>
    <mergeCell ref="G13:R13"/>
    <mergeCell ref="A14:R14"/>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Y25"/>
  <sheetViews>
    <sheetView showGridLines="0" zoomScale="66" zoomScaleNormal="66" zoomScaleSheetLayoutView="70" workbookViewId="0">
      <pane xSplit="2" ySplit="10" topLeftCell="C11" activePane="bottomRight" state="frozen"/>
      <selection pane="topRight" activeCell="D1" sqref="D1"/>
      <selection pane="bottomLeft" activeCell="A6" sqref="A6"/>
      <selection pane="bottomRight" activeCell="I15" sqref="H15:I15"/>
    </sheetView>
  </sheetViews>
  <sheetFormatPr defaultColWidth="9.140625" defaultRowHeight="14.25" x14ac:dyDescent="0.2"/>
  <cols>
    <col min="1" max="1" width="21.5703125" style="16" customWidth="1"/>
    <col min="2" max="2" width="73.42578125" style="16" customWidth="1"/>
    <col min="3" max="3" width="18.28515625" style="16" customWidth="1"/>
    <col min="4" max="24" width="9.7109375" style="16" customWidth="1"/>
    <col min="25" max="27" width="9.140625" style="16" customWidth="1"/>
    <col min="28" max="16384" width="9.140625" style="16"/>
  </cols>
  <sheetData>
    <row r="1" spans="1:25" ht="15" customHeight="1" x14ac:dyDescent="0.2"/>
    <row r="2" spans="1:25" ht="15" customHeight="1" x14ac:dyDescent="0.2"/>
    <row r="3" spans="1:25" ht="15" customHeight="1" x14ac:dyDescent="0.2"/>
    <row r="4" spans="1:25" ht="15" customHeight="1" x14ac:dyDescent="0.2"/>
    <row r="5" spans="1:25" ht="15" customHeight="1" x14ac:dyDescent="0.2"/>
    <row r="6" spans="1:25" ht="42" customHeight="1" x14ac:dyDescent="0.2">
      <c r="A6" s="381" t="s">
        <v>136</v>
      </c>
      <c r="B6" s="381"/>
      <c r="C6" s="381"/>
      <c r="D6" s="381"/>
      <c r="E6" s="381"/>
      <c r="F6" s="381"/>
      <c r="G6" s="381"/>
      <c r="H6" s="381"/>
      <c r="I6" s="381"/>
      <c r="J6" s="381"/>
      <c r="K6" s="381"/>
      <c r="L6" s="381"/>
      <c r="M6" s="381"/>
      <c r="N6" s="381"/>
      <c r="O6" s="381"/>
      <c r="P6" s="62"/>
      <c r="Q6" s="62"/>
      <c r="R6" s="62"/>
      <c r="S6" s="62"/>
      <c r="T6" s="62"/>
      <c r="U6" s="62"/>
      <c r="V6" s="62"/>
      <c r="W6" s="62"/>
    </row>
    <row r="7" spans="1:25" ht="24" customHeight="1" x14ac:dyDescent="0.2">
      <c r="A7" s="380" t="s">
        <v>135</v>
      </c>
      <c r="B7" s="380"/>
      <c r="C7" s="380"/>
      <c r="D7" s="380"/>
      <c r="E7" s="380"/>
      <c r="F7" s="380"/>
      <c r="G7" s="380"/>
      <c r="H7" s="380"/>
      <c r="I7" s="380"/>
      <c r="J7" s="380"/>
      <c r="K7" s="380"/>
      <c r="L7" s="380"/>
      <c r="M7" s="380"/>
      <c r="N7" s="380"/>
      <c r="O7" s="380"/>
      <c r="P7" s="380"/>
      <c r="Q7" s="380"/>
      <c r="R7" s="380"/>
      <c r="S7" s="380"/>
      <c r="T7" s="380"/>
      <c r="U7" s="380"/>
      <c r="V7" s="380"/>
      <c r="W7" s="380"/>
    </row>
    <row r="8" spans="1:25" ht="33.75" customHeight="1" x14ac:dyDescent="0.2">
      <c r="A8" s="380" t="s">
        <v>75</v>
      </c>
      <c r="B8" s="380"/>
      <c r="C8" s="380"/>
      <c r="D8" s="380"/>
      <c r="E8" s="380"/>
      <c r="F8" s="380"/>
      <c r="G8" s="380"/>
      <c r="H8" s="380"/>
      <c r="I8" s="380"/>
      <c r="J8" s="380"/>
      <c r="K8" s="380"/>
      <c r="L8" s="380"/>
      <c r="M8" s="380"/>
      <c r="N8" s="380"/>
      <c r="O8" s="380"/>
      <c r="P8" s="380"/>
      <c r="Q8" s="380"/>
      <c r="R8" s="380"/>
      <c r="S8" s="380"/>
      <c r="T8" s="380"/>
      <c r="U8" s="380"/>
      <c r="V8" s="380"/>
      <c r="W8" s="380"/>
    </row>
    <row r="9" spans="1:25" ht="33.75" customHeight="1" x14ac:dyDescent="0.25">
      <c r="A9" s="63"/>
      <c r="B9" s="63"/>
    </row>
    <row r="10" spans="1:25" ht="132" customHeight="1" x14ac:dyDescent="0.2">
      <c r="A10" s="173" t="s">
        <v>69</v>
      </c>
      <c r="B10" s="174" t="s">
        <v>187</v>
      </c>
      <c r="C10" s="162" t="str">
        <f>IF('Quadro Geral'!$E9="","",'Quadro Geral'!$E9)</f>
        <v>Articulação Institucional e fomento de parcerias estratégicas.</v>
      </c>
      <c r="D10" s="162" t="str">
        <f>IF('Quadro Geral'!$E9="","",'Quadro Geral'!$E10)</f>
        <v>Manutenção Institucional</v>
      </c>
      <c r="E10" s="162" t="str">
        <f>IF('Quadro Geral'!$E9="","",'Quadro Geral'!$E11)</f>
        <v>Orientação, esclarecimento e atendimento de demandas de profissionais e empresas</v>
      </c>
      <c r="F10" s="162" t="str">
        <f>IF('Quadro Geral'!$E9="","",'Quadro Geral'!$E12)</f>
        <v>Operacionalização dos processos éticos e de multa/fiscalização</v>
      </c>
      <c r="G10" s="162" t="str">
        <f>IF('Quadro Geral'!$E9="","",'Quadro Geral'!$E13)</f>
        <v>Manutenção Administrativa financeira</v>
      </c>
      <c r="H10" s="162" t="str">
        <f>IF('Quadro Geral'!$E9="","",'Quadro Geral'!$E14)</f>
        <v>Consultoria e Assessoria Jurídica</v>
      </c>
      <c r="I10" s="162" t="str">
        <f>IF('Quadro Geral'!$E9="","",'Quadro Geral'!$E15)</f>
        <v>Operacionalização e processamento dos  processos éticos</v>
      </c>
      <c r="J10" s="162" t="str">
        <f>IF('Quadro Geral'!$E9="","",'Quadro Geral'!$E16)</f>
        <v>Assessoramento organizacional-institucional</v>
      </c>
      <c r="K10" s="162" t="str">
        <f>IF('Quadro Geral'!$E9="","",'Quadro Geral'!$E17)</f>
        <v>Operacionalização da Fiscalização e fomento da valorização profissional</v>
      </c>
      <c r="L10" s="162" t="str">
        <f>IF('Quadro Geral'!$E9="","",'Quadro Geral'!$E18)</f>
        <v>Operacionalização, Planejamento e Controle do CAU</v>
      </c>
      <c r="M10" s="162" t="str">
        <f>IF('Quadro Geral'!$E9="","",'Quadro Geral'!$E19)</f>
        <v>Fomento ao aperfeiçoamento e à formação profissional</v>
      </c>
      <c r="N10" s="162" t="str">
        <f>IF('Quadro Geral'!$E9="","",'Quadro Geral'!$E20)</f>
        <v>Operacionalização das reuniões institucionais regimentais</v>
      </c>
      <c r="O10" s="162" t="str">
        <f>IF('Quadro Geral'!$E9="","",'Quadro Geral'!$E21)</f>
        <v>Dia do Arquiteto</v>
      </c>
      <c r="P10" s="162" t="str">
        <f>IF('Quadro Geral'!$E9="","",'Quadro Geral'!$E22)</f>
        <v>APC - Aperfeiçoamento Profissional Continuado</v>
      </c>
      <c r="Q10" s="162" t="str">
        <f>IF('Quadro Geral'!$E9="","",'Quadro Geral'!$E23)</f>
        <v>Patrocínio</v>
      </c>
      <c r="R10" s="162" t="str">
        <f>IF('Quadro Geral'!$E9="","",'Quadro Geral'!$E24)</f>
        <v>Aporte ao Fundo de Apoio</v>
      </c>
      <c r="S10" s="162" t="str">
        <f>IF('Quadro Geral'!$E9="","",'Quadro Geral'!$E25)</f>
        <v>Comunicação Institucional</v>
      </c>
      <c r="T10" s="162" t="str">
        <f>IF('Quadro Geral'!$E9="","",'Quadro Geral'!$E26)</f>
        <v>Programa de Capacitação dos Colaboradores</v>
      </c>
      <c r="U10" s="162" t="str">
        <f>IF('Quadro Geral'!$E9="","",'Quadro Geral'!$E27)</f>
        <v>Programa de Assistência Técnica</v>
      </c>
      <c r="V10" s="162" t="str">
        <f>IF('Quadro Geral'!$E9="","",'Quadro Geral'!$E28)</f>
        <v>Atendimento da Sociedade e arquitetos e urbanistas</v>
      </c>
      <c r="W10" s="162" t="str">
        <f>IF('Quadro Geral'!$E9="","",'Quadro Geral'!$E29)</f>
        <v>Reforma sede CAU/BA</v>
      </c>
    </row>
    <row r="11" spans="1:25" ht="63" customHeight="1" x14ac:dyDescent="0.2">
      <c r="A11" s="379" t="s">
        <v>79</v>
      </c>
      <c r="B11" s="175" t="s">
        <v>53</v>
      </c>
      <c r="C11" s="20" t="str">
        <f>IFERROR(IF(VLOOKUP(C$10,'Quadro Geral'!$E$9:$H$43,3,FALSE)='Matriz Objetivos x Projetos'!$B11,"P",IF(OR(VLOOKUP('Matriz Objetivos x Projetos'!C$10,'Quadro Geral'!$E$9:$H$43,4,FALSE)='Matriz Objetivos x Projetos'!$B11,VLOOKUP('Matriz Objetivos x Projetos'!C$10,'Quadro Geral'!$E$9:$H$29,5,FALSE)='Matriz Objetivos x Projetos'!$B11),"S","")),"")</f>
        <v/>
      </c>
      <c r="D11" s="20" t="str">
        <f>IFERROR(IF(VLOOKUP(D$10,'Quadro Geral'!$E$9:$H$43,3,FALSE)='Matriz Objetivos x Projetos'!$B11,"P",IF(OR(VLOOKUP('Matriz Objetivos x Projetos'!D$10,'Quadro Geral'!$E$9:$H$43,4,FALSE)='Matriz Objetivos x Projetos'!$B11,VLOOKUP('Matriz Objetivos x Projetos'!D$10,'Quadro Geral'!$E$9:$H$29,5,FALSE)='Matriz Objetivos x Projetos'!$B11),"S","")),"")</f>
        <v/>
      </c>
      <c r="E11" s="20" t="str">
        <f>IFERROR(IF(VLOOKUP(E$10,'Quadro Geral'!$E$9:$H$43,3,FALSE)='Matriz Objetivos x Projetos'!$B11,"P",IF(OR(VLOOKUP('Matriz Objetivos x Projetos'!E$10,'Quadro Geral'!$E$9:$H$43,4,FALSE)='Matriz Objetivos x Projetos'!$B11,VLOOKUP('Matriz Objetivos x Projetos'!E$10,'Quadro Geral'!$E$9:$H$29,5,FALSE)='Matriz Objetivos x Projetos'!$B11),"S","")),"")</f>
        <v/>
      </c>
      <c r="F11" s="20" t="str">
        <f>IFERROR(IF(VLOOKUP(F$10,'Quadro Geral'!$E$9:$H$43,3,FALSE)='Matriz Objetivos x Projetos'!$B11,"P",IF(OR(VLOOKUP('Matriz Objetivos x Projetos'!F$10,'Quadro Geral'!$E$9:$H$43,4,FALSE)='Matriz Objetivos x Projetos'!$B11,VLOOKUP('Matriz Objetivos x Projetos'!F$10,'Quadro Geral'!$E$9:$H$29,5,FALSE)='Matriz Objetivos x Projetos'!$B11),"S","")),"")</f>
        <v>P</v>
      </c>
      <c r="G11" s="20" t="str">
        <f>IFERROR(IF(VLOOKUP(G$10,'Quadro Geral'!$E$9:$H$43,3,FALSE)='Matriz Objetivos x Projetos'!$B11,"P",IF(OR(VLOOKUP('Matriz Objetivos x Projetos'!G$10,'Quadro Geral'!$E$9:$H$43,4,FALSE)='Matriz Objetivos x Projetos'!$B11,VLOOKUP('Matriz Objetivos x Projetos'!G$10,'Quadro Geral'!$E$9:$H$29,5,FALSE)='Matriz Objetivos x Projetos'!$B11),"S","")),"")</f>
        <v/>
      </c>
      <c r="H11" s="20" t="str">
        <f>IFERROR(IF(VLOOKUP(H$10,'Quadro Geral'!$E$9:$H$43,3,FALSE)='Matriz Objetivos x Projetos'!$B11,"P",IF(OR(VLOOKUP('Matriz Objetivos x Projetos'!H$10,'Quadro Geral'!$E$9:$H$43,4,FALSE)='Matriz Objetivos x Projetos'!$B11,VLOOKUP('Matriz Objetivos x Projetos'!H$10,'Quadro Geral'!$E$9:$H$29,5,FALSE)='Matriz Objetivos x Projetos'!$B11),"S","")),"")</f>
        <v/>
      </c>
      <c r="I11" s="20" t="str">
        <f>IFERROR(IF(VLOOKUP(I$10,'Quadro Geral'!$E$9:$H$43,3,FALSE)='Matriz Objetivos x Projetos'!$B11,"P",IF(OR(VLOOKUP('Matriz Objetivos x Projetos'!I$10,'Quadro Geral'!$E$9:$H$43,4,FALSE)='Matriz Objetivos x Projetos'!$B11,VLOOKUP('Matriz Objetivos x Projetos'!I$10,'Quadro Geral'!$E$9:$H$29,5,FALSE)='Matriz Objetivos x Projetos'!$B11),"S","")),"")</f>
        <v/>
      </c>
      <c r="J11" s="20" t="str">
        <f>IFERROR(IF(VLOOKUP(J$10,'Quadro Geral'!$E$9:$H$43,3,FALSE)='Matriz Objetivos x Projetos'!$B11,"P",IF(OR(VLOOKUP('Matriz Objetivos x Projetos'!J$10,'Quadro Geral'!$E$9:$H$43,4,FALSE)='Matriz Objetivos x Projetos'!$B11,VLOOKUP('Matriz Objetivos x Projetos'!J$10,'Quadro Geral'!$E$9:$H$29,5,FALSE)='Matriz Objetivos x Projetos'!$B11),"S","")),"")</f>
        <v/>
      </c>
      <c r="K11" s="20" t="str">
        <f>IFERROR(IF(VLOOKUP(K$10,'Quadro Geral'!$E$9:$H$43,3,FALSE)='Matriz Objetivos x Projetos'!$B11,"P",IF(OR(VLOOKUP('Matriz Objetivos x Projetos'!K$10,'Quadro Geral'!$E$9:$H$43,4,FALSE)='Matriz Objetivos x Projetos'!$B11,VLOOKUP('Matriz Objetivos x Projetos'!K$10,'Quadro Geral'!$E$9:$H$29,5,FALSE)='Matriz Objetivos x Projetos'!$B11),"S","")),"")</f>
        <v>P</v>
      </c>
      <c r="L11" s="20" t="str">
        <f>IFERROR(IF(VLOOKUP(L$10,'Quadro Geral'!$E$9:$H$43,3,FALSE)='Matriz Objetivos x Projetos'!$B11,"P",IF(OR(VLOOKUP('Matriz Objetivos x Projetos'!L$10,'Quadro Geral'!$E$9:$H$43,4,FALSE)='Matriz Objetivos x Projetos'!$B11,VLOOKUP('Matriz Objetivos x Projetos'!L$10,'Quadro Geral'!$E$9:$H$29,5,FALSE)='Matriz Objetivos x Projetos'!$B11),"S","")),"")</f>
        <v/>
      </c>
      <c r="M11" s="20" t="str">
        <f>IFERROR(IF(VLOOKUP(M$10,'Quadro Geral'!$E$9:$H$43,3,FALSE)='Matriz Objetivos x Projetos'!$B11,"P",IF(OR(VLOOKUP('Matriz Objetivos x Projetos'!M$10,'Quadro Geral'!$E$9:$H$43,4,FALSE)='Matriz Objetivos x Projetos'!$B11,VLOOKUP('Matriz Objetivos x Projetos'!M$10,'Quadro Geral'!$E$9:$H$29,5,FALSE)='Matriz Objetivos x Projetos'!$B11),"S","")),"")</f>
        <v/>
      </c>
      <c r="N11" s="20" t="str">
        <f>IFERROR(IF(VLOOKUP(N$10,'Quadro Geral'!$E$9:$H$43,3,FALSE)='Matriz Objetivos x Projetos'!$B11,"P",IF(OR(VLOOKUP('Matriz Objetivos x Projetos'!N$10,'Quadro Geral'!$E$9:$H$43,4,FALSE)='Matriz Objetivos x Projetos'!$B11,VLOOKUP('Matriz Objetivos x Projetos'!N$10,'Quadro Geral'!$E$9:$H$29,5,FALSE)='Matriz Objetivos x Projetos'!$B11),"S","")),"")</f>
        <v/>
      </c>
      <c r="O11" s="20" t="str">
        <f>IFERROR(IF(VLOOKUP(O$10,'Quadro Geral'!$E$9:$H$43,3,FALSE)='Matriz Objetivos x Projetos'!$B11,"P",IF(OR(VLOOKUP('Matriz Objetivos x Projetos'!O$10,'Quadro Geral'!$E$9:$H$43,4,FALSE)='Matriz Objetivos x Projetos'!$B11,VLOOKUP('Matriz Objetivos x Projetos'!O$10,'Quadro Geral'!$E$9:$H$29,5,FALSE)='Matriz Objetivos x Projetos'!$B11),"S","")),"")</f>
        <v/>
      </c>
      <c r="P11" s="20" t="str">
        <f>IFERROR(IF(VLOOKUP(P$10,'Quadro Geral'!$E$9:$H$43,3,FALSE)='Matriz Objetivos x Projetos'!$B11,"P",IF(OR(VLOOKUP('Matriz Objetivos x Projetos'!P$10,'Quadro Geral'!$E$9:$H$43,4,FALSE)='Matriz Objetivos x Projetos'!$B11,VLOOKUP('Matriz Objetivos x Projetos'!P$10,'Quadro Geral'!$E$9:$H$29,5,FALSE)='Matriz Objetivos x Projetos'!$B11),"S","")),"")</f>
        <v/>
      </c>
      <c r="Q11" s="20" t="str">
        <f>IFERROR(IF(VLOOKUP(Q$10,'Quadro Geral'!$E$9:$H$43,3,FALSE)='Matriz Objetivos x Projetos'!$B11,"P",IF(OR(VLOOKUP('Matriz Objetivos x Projetos'!Q$10,'Quadro Geral'!$E$9:$H$43,4,FALSE)='Matriz Objetivos x Projetos'!$B11,VLOOKUP('Matriz Objetivos x Projetos'!Q$10,'Quadro Geral'!$E$9:$H$29,5,FALSE)='Matriz Objetivos x Projetos'!$B11),"S","")),"")</f>
        <v/>
      </c>
      <c r="R11" s="20" t="str">
        <f>IFERROR(IF(VLOOKUP(R$10,'Quadro Geral'!$E$9:$H$43,3,FALSE)='Matriz Objetivos x Projetos'!$B11,"P",IF(OR(VLOOKUP('Matriz Objetivos x Projetos'!R$10,'Quadro Geral'!$E$9:$H$43,4,FALSE)='Matriz Objetivos x Projetos'!$B11,VLOOKUP('Matriz Objetivos x Projetos'!R$10,'Quadro Geral'!$E$9:$H$29,5,FALSE)='Matriz Objetivos x Projetos'!$B11),"S","")),"")</f>
        <v/>
      </c>
      <c r="S11" s="20" t="str">
        <f>IFERROR(IF(VLOOKUP(S$10,'Quadro Geral'!$E$9:$H$43,3,FALSE)='Matriz Objetivos x Projetos'!$B11,"P",IF(OR(VLOOKUP('Matriz Objetivos x Projetos'!S$10,'Quadro Geral'!$E$9:$H$43,4,FALSE)='Matriz Objetivos x Projetos'!$B11,VLOOKUP('Matriz Objetivos x Projetos'!S$10,'Quadro Geral'!$E$9:$H$29,5,FALSE)='Matriz Objetivos x Projetos'!$B11),"S","")),"")</f>
        <v/>
      </c>
      <c r="T11" s="20" t="str">
        <f>IFERROR(IF(VLOOKUP(T$10,'Quadro Geral'!$E$9:$H$43,3,FALSE)='Matriz Objetivos x Projetos'!$B11,"P",IF(OR(VLOOKUP('Matriz Objetivos x Projetos'!T$10,'Quadro Geral'!$E$9:$H$43,4,FALSE)='Matriz Objetivos x Projetos'!$B11,VLOOKUP('Matriz Objetivos x Projetos'!T$10,'Quadro Geral'!$E$9:$H$29,5,FALSE)='Matriz Objetivos x Projetos'!$B11),"S","")),"")</f>
        <v/>
      </c>
      <c r="U11" s="20" t="str">
        <f>IFERROR(IF(VLOOKUP(U$10,'Quadro Geral'!$E$9:$H$43,3,FALSE)='Matriz Objetivos x Projetos'!$B11,"P",IF(OR(VLOOKUP('Matriz Objetivos x Projetos'!U$10,'Quadro Geral'!$E$9:$H$43,4,FALSE)='Matriz Objetivos x Projetos'!$B11,VLOOKUP('Matriz Objetivos x Projetos'!U$10,'Quadro Geral'!$E$9:$H$29,5,FALSE)='Matriz Objetivos x Projetos'!$B11),"S","")),"")</f>
        <v/>
      </c>
      <c r="V11" s="20" t="str">
        <f>IFERROR(IF(VLOOKUP(V$10,'Quadro Geral'!$E$9:$H$43,3,FALSE)='Matriz Objetivos x Projetos'!$B11,"P",IF(OR(VLOOKUP('Matriz Objetivos x Projetos'!V$10,'Quadro Geral'!$E$9:$H$43,4,FALSE)='Matriz Objetivos x Projetos'!$B11,VLOOKUP('Matriz Objetivos x Projetos'!V$10,'Quadro Geral'!$E$9:$H$29,5,FALSE)='Matriz Objetivos x Projetos'!$B11),"S","")),"")</f>
        <v/>
      </c>
      <c r="W11" s="20" t="str">
        <f>IFERROR(IF(VLOOKUP(W$10,'Quadro Geral'!$E$9:$H$43,3,FALSE)='Matriz Objetivos x Projetos'!$B11,"P",IF(OR(VLOOKUP('Matriz Objetivos x Projetos'!W$10,'Quadro Geral'!$E$9:$H$43,4,FALSE)='Matriz Objetivos x Projetos'!$B11,VLOOKUP('Matriz Objetivos x Projetos'!W$10,'Quadro Geral'!$E$9:$H$29,5,FALSE)='Matriz Objetivos x Projetos'!$B11),"S","")),"")</f>
        <v/>
      </c>
      <c r="X11" s="17">
        <f t="shared" ref="X11:X24" si="0">COUNTIF(C11:W11,"x")</f>
        <v>0</v>
      </c>
      <c r="Y11" s="16" t="str">
        <f>IF(A11="",#REF!,A11)</f>
        <v>Processos Internos</v>
      </c>
    </row>
    <row r="12" spans="1:25" ht="63" customHeight="1" x14ac:dyDescent="0.2">
      <c r="A12" s="379"/>
      <c r="B12" s="175" t="s">
        <v>71</v>
      </c>
      <c r="C12" s="20" t="str">
        <f>IFERROR(IF(VLOOKUP(C$10,'Quadro Geral'!$E$9:$H$43,3,FALSE)='Matriz Objetivos x Projetos'!$B12,"P",IF(OR(VLOOKUP('Matriz Objetivos x Projetos'!C$10,'Quadro Geral'!$E$9:$H$43,4,FALSE)='Matriz Objetivos x Projetos'!$B12,VLOOKUP('Matriz Objetivos x Projetos'!C$10,'Quadro Geral'!$E$9:$H$29,5,FALSE)='Matriz Objetivos x Projetos'!$B12),"S","")),"")</f>
        <v/>
      </c>
      <c r="D12" s="20" t="str">
        <f>IFERROR(IF(VLOOKUP(D$10,'Quadro Geral'!$E$9:$H$43,3,FALSE)='Matriz Objetivos x Projetos'!$B12,"P",IF(OR(VLOOKUP('Matriz Objetivos x Projetos'!D$10,'Quadro Geral'!$E$9:$H$43,4,FALSE)='Matriz Objetivos x Projetos'!$B12,VLOOKUP('Matriz Objetivos x Projetos'!D$10,'Quadro Geral'!$E$9:$H$29,5,FALSE)='Matriz Objetivos x Projetos'!$B12),"S","")),"")</f>
        <v/>
      </c>
      <c r="E12" s="20" t="str">
        <f>IFERROR(IF(VLOOKUP(E$10,'Quadro Geral'!$E$9:$H$43,3,FALSE)='Matriz Objetivos x Projetos'!$B12,"P",IF(OR(VLOOKUP('Matriz Objetivos x Projetos'!E$10,'Quadro Geral'!$E$9:$H$43,4,FALSE)='Matriz Objetivos x Projetos'!$B12,VLOOKUP('Matriz Objetivos x Projetos'!E$10,'Quadro Geral'!$E$9:$H$29,5,FALSE)='Matriz Objetivos x Projetos'!$B12),"S","")),"")</f>
        <v>P</v>
      </c>
      <c r="F12" s="20" t="str">
        <f>IFERROR(IF(VLOOKUP(F$10,'Quadro Geral'!$E$9:$H$43,3,FALSE)='Matriz Objetivos x Projetos'!$B12,"P",IF(OR(VLOOKUP('Matriz Objetivos x Projetos'!F$10,'Quadro Geral'!$E$9:$H$43,4,FALSE)='Matriz Objetivos x Projetos'!$B12,VLOOKUP('Matriz Objetivos x Projetos'!F$10,'Quadro Geral'!$E$9:$H$29,5,FALSE)='Matriz Objetivos x Projetos'!$B12),"S","")),"")</f>
        <v/>
      </c>
      <c r="G12" s="20" t="str">
        <f>IFERROR(IF(VLOOKUP(G$10,'Quadro Geral'!$E$9:$H$43,3,FALSE)='Matriz Objetivos x Projetos'!$B12,"P",IF(OR(VLOOKUP('Matriz Objetivos x Projetos'!G$10,'Quadro Geral'!$E$9:$H$43,4,FALSE)='Matriz Objetivos x Projetos'!$B12,VLOOKUP('Matriz Objetivos x Projetos'!G$10,'Quadro Geral'!$E$9:$H$29,5,FALSE)='Matriz Objetivos x Projetos'!$B12),"S","")),"")</f>
        <v/>
      </c>
      <c r="H12" s="20" t="str">
        <f>IFERROR(IF(VLOOKUP(H$10,'Quadro Geral'!$E$9:$H$43,3,FALSE)='Matriz Objetivos x Projetos'!$B12,"P",IF(OR(VLOOKUP('Matriz Objetivos x Projetos'!H$10,'Quadro Geral'!$E$9:$H$43,4,FALSE)='Matriz Objetivos x Projetos'!$B12,VLOOKUP('Matriz Objetivos x Projetos'!H$10,'Quadro Geral'!$E$9:$H$29,5,FALSE)='Matriz Objetivos x Projetos'!$B12),"S","")),"")</f>
        <v/>
      </c>
      <c r="I12" s="20" t="str">
        <f>IFERROR(IF(VLOOKUP(I$10,'Quadro Geral'!$E$9:$H$43,3,FALSE)='Matriz Objetivos x Projetos'!$B12,"P",IF(OR(VLOOKUP('Matriz Objetivos x Projetos'!I$10,'Quadro Geral'!$E$9:$H$43,4,FALSE)='Matriz Objetivos x Projetos'!$B12,VLOOKUP('Matriz Objetivos x Projetos'!I$10,'Quadro Geral'!$E$9:$H$29,5,FALSE)='Matriz Objetivos x Projetos'!$B12),"S","")),"")</f>
        <v/>
      </c>
      <c r="J12" s="20" t="str">
        <f>IFERROR(IF(VLOOKUP(J$10,'Quadro Geral'!$E$9:$H$43,3,FALSE)='Matriz Objetivos x Projetos'!$B12,"P",IF(OR(VLOOKUP('Matriz Objetivos x Projetos'!J$10,'Quadro Geral'!$E$9:$H$43,4,FALSE)='Matriz Objetivos x Projetos'!$B12,VLOOKUP('Matriz Objetivos x Projetos'!J$10,'Quadro Geral'!$E$9:$H$29,5,FALSE)='Matriz Objetivos x Projetos'!$B12),"S","")),"")</f>
        <v/>
      </c>
      <c r="K12" s="20" t="str">
        <f>IFERROR(IF(VLOOKUP(K$10,'Quadro Geral'!$E$9:$H$43,3,FALSE)='Matriz Objetivos x Projetos'!$B12,"P",IF(OR(VLOOKUP('Matriz Objetivos x Projetos'!K$10,'Quadro Geral'!$E$9:$H$43,4,FALSE)='Matriz Objetivos x Projetos'!$B12,VLOOKUP('Matriz Objetivos x Projetos'!K$10,'Quadro Geral'!$E$9:$H$29,5,FALSE)='Matriz Objetivos x Projetos'!$B12),"S","")),"")</f>
        <v/>
      </c>
      <c r="L12" s="20" t="str">
        <f>IFERROR(IF(VLOOKUP(L$10,'Quadro Geral'!$E$9:$H$43,3,FALSE)='Matriz Objetivos x Projetos'!$B12,"P",IF(OR(VLOOKUP('Matriz Objetivos x Projetos'!L$10,'Quadro Geral'!$E$9:$H$43,4,FALSE)='Matriz Objetivos x Projetos'!$B12,VLOOKUP('Matriz Objetivos x Projetos'!L$10,'Quadro Geral'!$E$9:$H$29,5,FALSE)='Matriz Objetivos x Projetos'!$B12),"S","")),"")</f>
        <v/>
      </c>
      <c r="M12" s="20" t="str">
        <f>IFERROR(IF(VLOOKUP(M$10,'Quadro Geral'!$E$9:$H$43,3,FALSE)='Matriz Objetivos x Projetos'!$B12,"P",IF(OR(VLOOKUP('Matriz Objetivos x Projetos'!M$10,'Quadro Geral'!$E$9:$H$43,4,FALSE)='Matriz Objetivos x Projetos'!$B12,VLOOKUP('Matriz Objetivos x Projetos'!M$10,'Quadro Geral'!$E$9:$H$29,5,FALSE)='Matriz Objetivos x Projetos'!$B12),"S","")),"")</f>
        <v/>
      </c>
      <c r="N12" s="20" t="str">
        <f>IFERROR(IF(VLOOKUP(N$10,'Quadro Geral'!$E$9:$H$43,3,FALSE)='Matriz Objetivos x Projetos'!$B12,"P",IF(OR(VLOOKUP('Matriz Objetivos x Projetos'!N$10,'Quadro Geral'!$E$9:$H$43,4,FALSE)='Matriz Objetivos x Projetos'!$B12,VLOOKUP('Matriz Objetivos x Projetos'!N$10,'Quadro Geral'!$E$9:$H$29,5,FALSE)='Matriz Objetivos x Projetos'!$B12),"S","")),"")</f>
        <v/>
      </c>
      <c r="O12" s="20" t="str">
        <f>IFERROR(IF(VLOOKUP(O$10,'Quadro Geral'!$E$9:$H$43,3,FALSE)='Matriz Objetivos x Projetos'!$B12,"P",IF(OR(VLOOKUP('Matriz Objetivos x Projetos'!O$10,'Quadro Geral'!$E$9:$H$43,4,FALSE)='Matriz Objetivos x Projetos'!$B12,VLOOKUP('Matriz Objetivos x Projetos'!O$10,'Quadro Geral'!$E$9:$H$29,5,FALSE)='Matriz Objetivos x Projetos'!$B12),"S","")),"")</f>
        <v/>
      </c>
      <c r="P12" s="20" t="str">
        <f>IFERROR(IF(VLOOKUP(P$10,'Quadro Geral'!$E$9:$H$43,3,FALSE)='Matriz Objetivos x Projetos'!$B12,"P",IF(OR(VLOOKUP('Matriz Objetivos x Projetos'!P$10,'Quadro Geral'!$E$9:$H$43,4,FALSE)='Matriz Objetivos x Projetos'!$B12,VLOOKUP('Matriz Objetivos x Projetos'!P$10,'Quadro Geral'!$E$9:$H$29,5,FALSE)='Matriz Objetivos x Projetos'!$B12),"S","")),"")</f>
        <v>P</v>
      </c>
      <c r="Q12" s="20" t="str">
        <f>IFERROR(IF(VLOOKUP(Q$10,'Quadro Geral'!$E$9:$H$43,3,FALSE)='Matriz Objetivos x Projetos'!$B12,"P",IF(OR(VLOOKUP('Matriz Objetivos x Projetos'!Q$10,'Quadro Geral'!$E$9:$H$43,4,FALSE)='Matriz Objetivos x Projetos'!$B12,VLOOKUP('Matriz Objetivos x Projetos'!Q$10,'Quadro Geral'!$E$9:$H$29,5,FALSE)='Matriz Objetivos x Projetos'!$B12),"S","")),"")</f>
        <v/>
      </c>
      <c r="R12" s="20" t="str">
        <f>IFERROR(IF(VLOOKUP(R$10,'Quadro Geral'!$E$9:$H$43,3,FALSE)='Matriz Objetivos x Projetos'!$B12,"P",IF(OR(VLOOKUP('Matriz Objetivos x Projetos'!R$10,'Quadro Geral'!$E$9:$H$43,4,FALSE)='Matriz Objetivos x Projetos'!$B12,VLOOKUP('Matriz Objetivos x Projetos'!R$10,'Quadro Geral'!$E$9:$H$29,5,FALSE)='Matriz Objetivos x Projetos'!$B12),"S","")),"")</f>
        <v/>
      </c>
      <c r="S12" s="20" t="str">
        <f>IFERROR(IF(VLOOKUP(S$10,'Quadro Geral'!$E$9:$H$43,3,FALSE)='Matriz Objetivos x Projetos'!$B12,"P",IF(OR(VLOOKUP('Matriz Objetivos x Projetos'!S$10,'Quadro Geral'!$E$9:$H$43,4,FALSE)='Matriz Objetivos x Projetos'!$B12,VLOOKUP('Matriz Objetivos x Projetos'!S$10,'Quadro Geral'!$E$9:$H$29,5,FALSE)='Matriz Objetivos x Projetos'!$B12),"S","")),"")</f>
        <v/>
      </c>
      <c r="T12" s="20" t="str">
        <f>IFERROR(IF(VLOOKUP(T$10,'Quadro Geral'!$E$9:$H$43,3,FALSE)='Matriz Objetivos x Projetos'!$B12,"P",IF(OR(VLOOKUP('Matriz Objetivos x Projetos'!T$10,'Quadro Geral'!$E$9:$H$43,4,FALSE)='Matriz Objetivos x Projetos'!$B12,VLOOKUP('Matriz Objetivos x Projetos'!T$10,'Quadro Geral'!$E$9:$H$29,5,FALSE)='Matriz Objetivos x Projetos'!$B12),"S","")),"")</f>
        <v/>
      </c>
      <c r="U12" s="20" t="str">
        <f>IFERROR(IF(VLOOKUP(U$10,'Quadro Geral'!$E$9:$H$43,3,FALSE)='Matriz Objetivos x Projetos'!$B12,"P",IF(OR(VLOOKUP('Matriz Objetivos x Projetos'!U$10,'Quadro Geral'!$E$9:$H$43,4,FALSE)='Matriz Objetivos x Projetos'!$B12,VLOOKUP('Matriz Objetivos x Projetos'!U$10,'Quadro Geral'!$E$9:$H$29,5,FALSE)='Matriz Objetivos x Projetos'!$B12),"S","")),"")</f>
        <v/>
      </c>
      <c r="V12" s="20" t="str">
        <f>IFERROR(IF(VLOOKUP(V$10,'Quadro Geral'!$E$9:$H$43,3,FALSE)='Matriz Objetivos x Projetos'!$B12,"P",IF(OR(VLOOKUP('Matriz Objetivos x Projetos'!V$10,'Quadro Geral'!$E$9:$H$43,4,FALSE)='Matriz Objetivos x Projetos'!$B12,VLOOKUP('Matriz Objetivos x Projetos'!V$10,'Quadro Geral'!$E$9:$H$29,5,FALSE)='Matriz Objetivos x Projetos'!$B12),"S","")),"")</f>
        <v>P</v>
      </c>
      <c r="W12" s="20" t="str">
        <f>IFERROR(IF(VLOOKUP(W$10,'Quadro Geral'!$E$9:$H$43,3,FALSE)='Matriz Objetivos x Projetos'!$B12,"P",IF(OR(VLOOKUP('Matriz Objetivos x Projetos'!W$10,'Quadro Geral'!$E$9:$H$43,4,FALSE)='Matriz Objetivos x Projetos'!$B12,VLOOKUP('Matriz Objetivos x Projetos'!W$10,'Quadro Geral'!$E$9:$H$29,5,FALSE)='Matriz Objetivos x Projetos'!$B12),"S","")),"")</f>
        <v/>
      </c>
      <c r="X12" s="17">
        <f t="shared" si="0"/>
        <v>0</v>
      </c>
      <c r="Y12" s="16" t="str">
        <f t="shared" ref="Y12:Y24" si="1">IF(A12="",Y11,A12)</f>
        <v>Processos Internos</v>
      </c>
    </row>
    <row r="13" spans="1:25" ht="63" customHeight="1" x14ac:dyDescent="0.2">
      <c r="A13" s="379"/>
      <c r="B13" s="175" t="s">
        <v>55</v>
      </c>
      <c r="C13" s="20" t="str">
        <f>IFERROR(IF(VLOOKUP(C$10,'Quadro Geral'!$E$9:$H$43,3,FALSE)='Matriz Objetivos x Projetos'!$B13,"P",IF(OR(VLOOKUP('Matriz Objetivos x Projetos'!C$10,'Quadro Geral'!$E$9:$H$43,4,FALSE)='Matriz Objetivos x Projetos'!$B13,VLOOKUP('Matriz Objetivos x Projetos'!C$10,'Quadro Geral'!$E$9:$H$29,5,FALSE)='Matriz Objetivos x Projetos'!$B13),"S","")),"")</f>
        <v/>
      </c>
      <c r="D13" s="20" t="str">
        <f>IFERROR(IF(VLOOKUP(D$10,'Quadro Geral'!$E$9:$H$43,3,FALSE)='Matriz Objetivos x Projetos'!$B13,"P",IF(OR(VLOOKUP('Matriz Objetivos x Projetos'!D$10,'Quadro Geral'!$E$9:$H$43,4,FALSE)='Matriz Objetivos x Projetos'!$B13,VLOOKUP('Matriz Objetivos x Projetos'!D$10,'Quadro Geral'!$E$9:$H$29,5,FALSE)='Matriz Objetivos x Projetos'!$B13),"S","")),"")</f>
        <v/>
      </c>
      <c r="E13" s="20" t="str">
        <f>IFERROR(IF(VLOOKUP(E$10,'Quadro Geral'!$E$9:$H$43,3,FALSE)='Matriz Objetivos x Projetos'!$B13,"P",IF(OR(VLOOKUP('Matriz Objetivos x Projetos'!E$10,'Quadro Geral'!$E$9:$H$43,4,FALSE)='Matriz Objetivos x Projetos'!$B13,VLOOKUP('Matriz Objetivos x Projetos'!E$10,'Quadro Geral'!$E$9:$H$29,5,FALSE)='Matriz Objetivos x Projetos'!$B13),"S","")),"")</f>
        <v/>
      </c>
      <c r="F13" s="20" t="str">
        <f>IFERROR(IF(VLOOKUP(F$10,'Quadro Geral'!$E$9:$H$43,3,FALSE)='Matriz Objetivos x Projetos'!$B13,"P",IF(OR(VLOOKUP('Matriz Objetivos x Projetos'!F$10,'Quadro Geral'!$E$9:$H$43,4,FALSE)='Matriz Objetivos x Projetos'!$B13,VLOOKUP('Matriz Objetivos x Projetos'!F$10,'Quadro Geral'!$E$9:$H$29,5,FALSE)='Matriz Objetivos x Projetos'!$B13),"S","")),"")</f>
        <v/>
      </c>
      <c r="G13" s="20" t="str">
        <f>IFERROR(IF(VLOOKUP(G$10,'Quadro Geral'!$E$9:$H$43,3,FALSE)='Matriz Objetivos x Projetos'!$B13,"P",IF(OR(VLOOKUP('Matriz Objetivos x Projetos'!G$10,'Quadro Geral'!$E$9:$H$43,4,FALSE)='Matriz Objetivos x Projetos'!$B13,VLOOKUP('Matriz Objetivos x Projetos'!G$10,'Quadro Geral'!$E$9:$H$29,5,FALSE)='Matriz Objetivos x Projetos'!$B13),"S","")),"")</f>
        <v/>
      </c>
      <c r="H13" s="20" t="str">
        <f>IFERROR(IF(VLOOKUP(H$10,'Quadro Geral'!$E$9:$H$43,3,FALSE)='Matriz Objetivos x Projetos'!$B13,"P",IF(OR(VLOOKUP('Matriz Objetivos x Projetos'!H$10,'Quadro Geral'!$E$9:$H$43,4,FALSE)='Matriz Objetivos x Projetos'!$B13,VLOOKUP('Matriz Objetivos x Projetos'!H$10,'Quadro Geral'!$E$9:$H$29,5,FALSE)='Matriz Objetivos x Projetos'!$B13),"S","")),"")</f>
        <v/>
      </c>
      <c r="I13" s="20" t="str">
        <f>IFERROR(IF(VLOOKUP(I$10,'Quadro Geral'!$E$9:$H$43,3,FALSE)='Matriz Objetivos x Projetos'!$B13,"P",IF(OR(VLOOKUP('Matriz Objetivos x Projetos'!I$10,'Quadro Geral'!$E$9:$H$43,4,FALSE)='Matriz Objetivos x Projetos'!$B13,VLOOKUP('Matriz Objetivos x Projetos'!I$10,'Quadro Geral'!$E$9:$H$29,5,FALSE)='Matriz Objetivos x Projetos'!$B13),"S","")),"")</f>
        <v/>
      </c>
      <c r="J13" s="20" t="str">
        <f>IFERROR(IF(VLOOKUP(J$10,'Quadro Geral'!$E$9:$H$43,3,FALSE)='Matriz Objetivos x Projetos'!$B13,"P",IF(OR(VLOOKUP('Matriz Objetivos x Projetos'!J$10,'Quadro Geral'!$E$9:$H$43,4,FALSE)='Matriz Objetivos x Projetos'!$B13,VLOOKUP('Matriz Objetivos x Projetos'!J$10,'Quadro Geral'!$E$9:$H$29,5,FALSE)='Matriz Objetivos x Projetos'!$B13),"S","")),"")</f>
        <v/>
      </c>
      <c r="K13" s="20" t="str">
        <f>IFERROR(IF(VLOOKUP(K$10,'Quadro Geral'!$E$9:$H$43,3,FALSE)='Matriz Objetivos x Projetos'!$B13,"P",IF(OR(VLOOKUP('Matriz Objetivos x Projetos'!K$10,'Quadro Geral'!$E$9:$H$43,4,FALSE)='Matriz Objetivos x Projetos'!$B13,VLOOKUP('Matriz Objetivos x Projetos'!K$10,'Quadro Geral'!$E$9:$H$29,5,FALSE)='Matriz Objetivos x Projetos'!$B13),"S","")),"")</f>
        <v/>
      </c>
      <c r="L13" s="20" t="str">
        <f>IFERROR(IF(VLOOKUP(L$10,'Quadro Geral'!$E$9:$H$43,3,FALSE)='Matriz Objetivos x Projetos'!$B13,"P",IF(OR(VLOOKUP('Matriz Objetivos x Projetos'!L$10,'Quadro Geral'!$E$9:$H$43,4,FALSE)='Matriz Objetivos x Projetos'!$B13,VLOOKUP('Matriz Objetivos x Projetos'!L$10,'Quadro Geral'!$E$9:$H$29,5,FALSE)='Matriz Objetivos x Projetos'!$B13),"S","")),"")</f>
        <v/>
      </c>
      <c r="M13" s="20" t="str">
        <f>IFERROR(IF(VLOOKUP(M$10,'Quadro Geral'!$E$9:$H$43,3,FALSE)='Matriz Objetivos x Projetos'!$B13,"P",IF(OR(VLOOKUP('Matriz Objetivos x Projetos'!M$10,'Quadro Geral'!$E$9:$H$43,4,FALSE)='Matriz Objetivos x Projetos'!$B13,VLOOKUP('Matriz Objetivos x Projetos'!M$10,'Quadro Geral'!$E$9:$H$29,5,FALSE)='Matriz Objetivos x Projetos'!$B13),"S","")),"")</f>
        <v/>
      </c>
      <c r="N13" s="20" t="str">
        <f>IFERROR(IF(VLOOKUP(N$10,'Quadro Geral'!$E$9:$H$43,3,FALSE)='Matriz Objetivos x Projetos'!$B13,"P",IF(OR(VLOOKUP('Matriz Objetivos x Projetos'!N$10,'Quadro Geral'!$E$9:$H$43,4,FALSE)='Matriz Objetivos x Projetos'!$B13,VLOOKUP('Matriz Objetivos x Projetos'!N$10,'Quadro Geral'!$E$9:$H$29,5,FALSE)='Matriz Objetivos x Projetos'!$B13),"S","")),"")</f>
        <v/>
      </c>
      <c r="O13" s="20" t="str">
        <f>IFERROR(IF(VLOOKUP(O$10,'Quadro Geral'!$E$9:$H$43,3,FALSE)='Matriz Objetivos x Projetos'!$B13,"P",IF(OR(VLOOKUP('Matriz Objetivos x Projetos'!O$10,'Quadro Geral'!$E$9:$H$43,4,FALSE)='Matriz Objetivos x Projetos'!$B13,VLOOKUP('Matriz Objetivos x Projetos'!O$10,'Quadro Geral'!$E$9:$H$29,5,FALSE)='Matriz Objetivos x Projetos'!$B13),"S","")),"")</f>
        <v/>
      </c>
      <c r="P13" s="20" t="str">
        <f>IFERROR(IF(VLOOKUP(P$10,'Quadro Geral'!$E$9:$H$43,3,FALSE)='Matriz Objetivos x Projetos'!$B13,"P",IF(OR(VLOOKUP('Matriz Objetivos x Projetos'!P$10,'Quadro Geral'!$E$9:$H$43,4,FALSE)='Matriz Objetivos x Projetos'!$B13,VLOOKUP('Matriz Objetivos x Projetos'!P$10,'Quadro Geral'!$E$9:$H$29,5,FALSE)='Matriz Objetivos x Projetos'!$B13),"S","")),"")</f>
        <v/>
      </c>
      <c r="Q13" s="20" t="str">
        <f>IFERROR(IF(VLOOKUP(Q$10,'Quadro Geral'!$E$9:$H$43,3,FALSE)='Matriz Objetivos x Projetos'!$B13,"P",IF(OR(VLOOKUP('Matriz Objetivos x Projetos'!Q$10,'Quadro Geral'!$E$9:$H$43,4,FALSE)='Matriz Objetivos x Projetos'!$B13,VLOOKUP('Matriz Objetivos x Projetos'!Q$10,'Quadro Geral'!$E$9:$H$29,5,FALSE)='Matriz Objetivos x Projetos'!$B13),"S","")),"")</f>
        <v>P</v>
      </c>
      <c r="R13" s="20" t="str">
        <f>IFERROR(IF(VLOOKUP(R$10,'Quadro Geral'!$E$9:$H$43,3,FALSE)='Matriz Objetivos x Projetos'!$B13,"P",IF(OR(VLOOKUP('Matriz Objetivos x Projetos'!R$10,'Quadro Geral'!$E$9:$H$43,4,FALSE)='Matriz Objetivos x Projetos'!$B13,VLOOKUP('Matriz Objetivos x Projetos'!R$10,'Quadro Geral'!$E$9:$H$29,5,FALSE)='Matriz Objetivos x Projetos'!$B13),"S","")),"")</f>
        <v/>
      </c>
      <c r="S13" s="20" t="str">
        <f>IFERROR(IF(VLOOKUP(S$10,'Quadro Geral'!$E$9:$H$43,3,FALSE)='Matriz Objetivos x Projetos'!$B13,"P",IF(OR(VLOOKUP('Matriz Objetivos x Projetos'!S$10,'Quadro Geral'!$E$9:$H$43,4,FALSE)='Matriz Objetivos x Projetos'!$B13,VLOOKUP('Matriz Objetivos x Projetos'!S$10,'Quadro Geral'!$E$9:$H$29,5,FALSE)='Matriz Objetivos x Projetos'!$B13),"S","")),"")</f>
        <v/>
      </c>
      <c r="T13" s="20" t="str">
        <f>IFERROR(IF(VLOOKUP(T$10,'Quadro Geral'!$E$9:$H$43,3,FALSE)='Matriz Objetivos x Projetos'!$B13,"P",IF(OR(VLOOKUP('Matriz Objetivos x Projetos'!T$10,'Quadro Geral'!$E$9:$H$43,4,FALSE)='Matriz Objetivos x Projetos'!$B13,VLOOKUP('Matriz Objetivos x Projetos'!T$10,'Quadro Geral'!$E$9:$H$29,5,FALSE)='Matriz Objetivos x Projetos'!$B13),"S","")),"")</f>
        <v/>
      </c>
      <c r="U13" s="20" t="str">
        <f>IFERROR(IF(VLOOKUP(U$10,'Quadro Geral'!$E$9:$H$43,3,FALSE)='Matriz Objetivos x Projetos'!$B13,"P",IF(OR(VLOOKUP('Matriz Objetivos x Projetos'!U$10,'Quadro Geral'!$E$9:$H$43,4,FALSE)='Matriz Objetivos x Projetos'!$B13,VLOOKUP('Matriz Objetivos x Projetos'!U$10,'Quadro Geral'!$E$9:$H$29,5,FALSE)='Matriz Objetivos x Projetos'!$B13),"S","")),"")</f>
        <v/>
      </c>
      <c r="V13" s="20" t="str">
        <f>IFERROR(IF(VLOOKUP(V$10,'Quadro Geral'!$E$9:$H$43,3,FALSE)='Matriz Objetivos x Projetos'!$B13,"P",IF(OR(VLOOKUP('Matriz Objetivos x Projetos'!V$10,'Quadro Geral'!$E$9:$H$43,4,FALSE)='Matriz Objetivos x Projetos'!$B13,VLOOKUP('Matriz Objetivos x Projetos'!V$10,'Quadro Geral'!$E$9:$H$29,5,FALSE)='Matriz Objetivos x Projetos'!$B13),"S","")),"")</f>
        <v/>
      </c>
      <c r="W13" s="20" t="str">
        <f>IFERROR(IF(VLOOKUP(W$10,'Quadro Geral'!$E$9:$H$43,3,FALSE)='Matriz Objetivos x Projetos'!$B13,"P",IF(OR(VLOOKUP('Matriz Objetivos x Projetos'!W$10,'Quadro Geral'!$E$9:$H$43,4,FALSE)='Matriz Objetivos x Projetos'!$B13,VLOOKUP('Matriz Objetivos x Projetos'!W$10,'Quadro Geral'!$E$9:$H$29,5,FALSE)='Matriz Objetivos x Projetos'!$B13),"S","")),"")</f>
        <v/>
      </c>
      <c r="X13" s="17">
        <f t="shared" si="0"/>
        <v>0</v>
      </c>
      <c r="Y13" s="16" t="str">
        <f t="shared" si="1"/>
        <v>Processos Internos</v>
      </c>
    </row>
    <row r="14" spans="1:25" ht="63" customHeight="1" x14ac:dyDescent="0.2">
      <c r="A14" s="379"/>
      <c r="B14" s="175" t="s">
        <v>56</v>
      </c>
      <c r="C14" s="20" t="str">
        <f>IFERROR(IF(VLOOKUP(C$10,'Quadro Geral'!$E$9:$H$43,3,FALSE)='Matriz Objetivos x Projetos'!$B14,"P",IF(OR(VLOOKUP('Matriz Objetivos x Projetos'!C$10,'Quadro Geral'!$E$9:$H$43,4,FALSE)='Matriz Objetivos x Projetos'!$B14,VLOOKUP('Matriz Objetivos x Projetos'!C$10,'Quadro Geral'!$E$9:$H$29,5,FALSE)='Matriz Objetivos x Projetos'!$B14),"S","")),"")</f>
        <v/>
      </c>
      <c r="D14" s="20" t="str">
        <f>IFERROR(IF(VLOOKUP(D$10,'Quadro Geral'!$E$9:$H$43,3,FALSE)='Matriz Objetivos x Projetos'!$B14,"P",IF(OR(VLOOKUP('Matriz Objetivos x Projetos'!D$10,'Quadro Geral'!$E$9:$H$43,4,FALSE)='Matriz Objetivos x Projetos'!$B14,VLOOKUP('Matriz Objetivos x Projetos'!D$10,'Quadro Geral'!$E$9:$H$29,5,FALSE)='Matriz Objetivos x Projetos'!$B14),"S","")),"")</f>
        <v/>
      </c>
      <c r="E14" s="20" t="str">
        <f>IFERROR(IF(VLOOKUP(E$10,'Quadro Geral'!$E$9:$H$43,3,FALSE)='Matriz Objetivos x Projetos'!$B14,"P",IF(OR(VLOOKUP('Matriz Objetivos x Projetos'!E$10,'Quadro Geral'!$E$9:$H$43,4,FALSE)='Matriz Objetivos x Projetos'!$B14,VLOOKUP('Matriz Objetivos x Projetos'!E$10,'Quadro Geral'!$E$9:$H$29,5,FALSE)='Matriz Objetivos x Projetos'!$B14),"S","")),"")</f>
        <v/>
      </c>
      <c r="F14" s="20" t="str">
        <f>IFERROR(IF(VLOOKUP(F$10,'Quadro Geral'!$E$9:$H$43,3,FALSE)='Matriz Objetivos x Projetos'!$B14,"P",IF(OR(VLOOKUP('Matriz Objetivos x Projetos'!F$10,'Quadro Geral'!$E$9:$H$43,4,FALSE)='Matriz Objetivos x Projetos'!$B14,VLOOKUP('Matriz Objetivos x Projetos'!F$10,'Quadro Geral'!$E$9:$H$29,5,FALSE)='Matriz Objetivos x Projetos'!$B14),"S","")),"")</f>
        <v/>
      </c>
      <c r="G14" s="20" t="str">
        <f>IFERROR(IF(VLOOKUP(G$10,'Quadro Geral'!$E$9:$H$43,3,FALSE)='Matriz Objetivos x Projetos'!$B14,"P",IF(OR(VLOOKUP('Matriz Objetivos x Projetos'!G$10,'Quadro Geral'!$E$9:$H$43,4,FALSE)='Matriz Objetivos x Projetos'!$B14,VLOOKUP('Matriz Objetivos x Projetos'!G$10,'Quadro Geral'!$E$9:$H$29,5,FALSE)='Matriz Objetivos x Projetos'!$B14),"S","")),"")</f>
        <v/>
      </c>
      <c r="H14" s="20" t="str">
        <f>IFERROR(IF(VLOOKUP(H$10,'Quadro Geral'!$E$9:$H$43,3,FALSE)='Matriz Objetivos x Projetos'!$B14,"P",IF(OR(VLOOKUP('Matriz Objetivos x Projetos'!H$10,'Quadro Geral'!$E$9:$H$43,4,FALSE)='Matriz Objetivos x Projetos'!$B14,VLOOKUP('Matriz Objetivos x Projetos'!H$10,'Quadro Geral'!$E$9:$H$29,5,FALSE)='Matriz Objetivos x Projetos'!$B14),"S","")),"")</f>
        <v/>
      </c>
      <c r="I14" s="20" t="str">
        <f>IFERROR(IF(VLOOKUP(I$10,'Quadro Geral'!$E$9:$H$43,3,FALSE)='Matriz Objetivos x Projetos'!$B14,"P",IF(OR(VLOOKUP('Matriz Objetivos x Projetos'!I$10,'Quadro Geral'!$E$9:$H$43,4,FALSE)='Matriz Objetivos x Projetos'!$B14,VLOOKUP('Matriz Objetivos x Projetos'!I$10,'Quadro Geral'!$E$9:$H$29,5,FALSE)='Matriz Objetivos x Projetos'!$B14),"S","")),"")</f>
        <v/>
      </c>
      <c r="J14" s="20" t="str">
        <f>IFERROR(IF(VLOOKUP(J$10,'Quadro Geral'!$E$9:$H$43,3,FALSE)='Matriz Objetivos x Projetos'!$B14,"P",IF(OR(VLOOKUP('Matriz Objetivos x Projetos'!J$10,'Quadro Geral'!$E$9:$H$43,4,FALSE)='Matriz Objetivos x Projetos'!$B14,VLOOKUP('Matriz Objetivos x Projetos'!J$10,'Quadro Geral'!$E$9:$H$29,5,FALSE)='Matriz Objetivos x Projetos'!$B14),"S","")),"")</f>
        <v/>
      </c>
      <c r="K14" s="20" t="str">
        <f>IFERROR(IF(VLOOKUP(K$10,'Quadro Geral'!$E$9:$H$43,3,FALSE)='Matriz Objetivos x Projetos'!$B14,"P",IF(OR(VLOOKUP('Matriz Objetivos x Projetos'!K$10,'Quadro Geral'!$E$9:$H$43,4,FALSE)='Matriz Objetivos x Projetos'!$B14,VLOOKUP('Matriz Objetivos x Projetos'!K$10,'Quadro Geral'!$E$9:$H$29,5,FALSE)='Matriz Objetivos x Projetos'!$B14),"S","")),"")</f>
        <v/>
      </c>
      <c r="L14" s="20" t="str">
        <f>IFERROR(IF(VLOOKUP(L$10,'Quadro Geral'!$E$9:$H$43,3,FALSE)='Matriz Objetivos x Projetos'!$B14,"P",IF(OR(VLOOKUP('Matriz Objetivos x Projetos'!L$10,'Quadro Geral'!$E$9:$H$43,4,FALSE)='Matriz Objetivos x Projetos'!$B14,VLOOKUP('Matriz Objetivos x Projetos'!L$10,'Quadro Geral'!$E$9:$H$29,5,FALSE)='Matriz Objetivos x Projetos'!$B14),"S","")),"")</f>
        <v/>
      </c>
      <c r="M14" s="20" t="str">
        <f>IFERROR(IF(VLOOKUP(M$10,'Quadro Geral'!$E$9:$H$43,3,FALSE)='Matriz Objetivos x Projetos'!$B14,"P",IF(OR(VLOOKUP('Matriz Objetivos x Projetos'!M$10,'Quadro Geral'!$E$9:$H$43,4,FALSE)='Matriz Objetivos x Projetos'!$B14,VLOOKUP('Matriz Objetivos x Projetos'!M$10,'Quadro Geral'!$E$9:$H$29,5,FALSE)='Matriz Objetivos x Projetos'!$B14),"S","")),"")</f>
        <v>P</v>
      </c>
      <c r="N14" s="20" t="str">
        <f>IFERROR(IF(VLOOKUP(N$10,'Quadro Geral'!$E$9:$H$43,3,FALSE)='Matriz Objetivos x Projetos'!$B14,"P",IF(OR(VLOOKUP('Matriz Objetivos x Projetos'!N$10,'Quadro Geral'!$E$9:$H$43,4,FALSE)='Matriz Objetivos x Projetos'!$B14,VLOOKUP('Matriz Objetivos x Projetos'!N$10,'Quadro Geral'!$E$9:$H$29,5,FALSE)='Matriz Objetivos x Projetos'!$B14),"S","")),"")</f>
        <v/>
      </c>
      <c r="O14" s="20" t="str">
        <f>IFERROR(IF(VLOOKUP(O$10,'Quadro Geral'!$E$9:$H$43,3,FALSE)='Matriz Objetivos x Projetos'!$B14,"P",IF(OR(VLOOKUP('Matriz Objetivos x Projetos'!O$10,'Quadro Geral'!$E$9:$H$43,4,FALSE)='Matriz Objetivos x Projetos'!$B14,VLOOKUP('Matriz Objetivos x Projetos'!O$10,'Quadro Geral'!$E$9:$H$29,5,FALSE)='Matriz Objetivos x Projetos'!$B14),"S","")),"")</f>
        <v/>
      </c>
      <c r="P14" s="20" t="str">
        <f>IFERROR(IF(VLOOKUP(P$10,'Quadro Geral'!$E$9:$H$43,3,FALSE)='Matriz Objetivos x Projetos'!$B14,"P",IF(OR(VLOOKUP('Matriz Objetivos x Projetos'!P$10,'Quadro Geral'!$E$9:$H$43,4,FALSE)='Matriz Objetivos x Projetos'!$B14,VLOOKUP('Matriz Objetivos x Projetos'!P$10,'Quadro Geral'!$E$9:$H$29,5,FALSE)='Matriz Objetivos x Projetos'!$B14),"S","")),"")</f>
        <v/>
      </c>
      <c r="Q14" s="20" t="str">
        <f>IFERROR(IF(VLOOKUP(Q$10,'Quadro Geral'!$E$9:$H$43,3,FALSE)='Matriz Objetivos x Projetos'!$B14,"P",IF(OR(VLOOKUP('Matriz Objetivos x Projetos'!Q$10,'Quadro Geral'!$E$9:$H$43,4,FALSE)='Matriz Objetivos x Projetos'!$B14,VLOOKUP('Matriz Objetivos x Projetos'!Q$10,'Quadro Geral'!$E$9:$H$29,5,FALSE)='Matriz Objetivos x Projetos'!$B14),"S","")),"")</f>
        <v/>
      </c>
      <c r="R14" s="20" t="str">
        <f>IFERROR(IF(VLOOKUP(R$10,'Quadro Geral'!$E$9:$H$43,3,FALSE)='Matriz Objetivos x Projetos'!$B14,"P",IF(OR(VLOOKUP('Matriz Objetivos x Projetos'!R$10,'Quadro Geral'!$E$9:$H$43,4,FALSE)='Matriz Objetivos x Projetos'!$B14,VLOOKUP('Matriz Objetivos x Projetos'!R$10,'Quadro Geral'!$E$9:$H$29,5,FALSE)='Matriz Objetivos x Projetos'!$B14),"S","")),"")</f>
        <v/>
      </c>
      <c r="S14" s="20" t="str">
        <f>IFERROR(IF(VLOOKUP(S$10,'Quadro Geral'!$E$9:$H$43,3,FALSE)='Matriz Objetivos x Projetos'!$B14,"P",IF(OR(VLOOKUP('Matriz Objetivos x Projetos'!S$10,'Quadro Geral'!$E$9:$H$43,4,FALSE)='Matriz Objetivos x Projetos'!$B14,VLOOKUP('Matriz Objetivos x Projetos'!S$10,'Quadro Geral'!$E$9:$H$29,5,FALSE)='Matriz Objetivos x Projetos'!$B14),"S","")),"")</f>
        <v/>
      </c>
      <c r="T14" s="20" t="str">
        <f>IFERROR(IF(VLOOKUP(T$10,'Quadro Geral'!$E$9:$H$43,3,FALSE)='Matriz Objetivos x Projetos'!$B14,"P",IF(OR(VLOOKUP('Matriz Objetivos x Projetos'!T$10,'Quadro Geral'!$E$9:$H$43,4,FALSE)='Matriz Objetivos x Projetos'!$B14,VLOOKUP('Matriz Objetivos x Projetos'!T$10,'Quadro Geral'!$E$9:$H$29,5,FALSE)='Matriz Objetivos x Projetos'!$B14),"S","")),"")</f>
        <v/>
      </c>
      <c r="U14" s="20" t="str">
        <f>IFERROR(IF(VLOOKUP(U$10,'Quadro Geral'!$E$9:$H$43,3,FALSE)='Matriz Objetivos x Projetos'!$B14,"P",IF(OR(VLOOKUP('Matriz Objetivos x Projetos'!U$10,'Quadro Geral'!$E$9:$H$43,4,FALSE)='Matriz Objetivos x Projetos'!$B14,VLOOKUP('Matriz Objetivos x Projetos'!U$10,'Quadro Geral'!$E$9:$H$29,5,FALSE)='Matriz Objetivos x Projetos'!$B14),"S","")),"")</f>
        <v/>
      </c>
      <c r="V14" s="20" t="str">
        <f>IFERROR(IF(VLOOKUP(V$10,'Quadro Geral'!$E$9:$H$43,3,FALSE)='Matriz Objetivos x Projetos'!$B14,"P",IF(OR(VLOOKUP('Matriz Objetivos x Projetos'!V$10,'Quadro Geral'!$E$9:$H$43,4,FALSE)='Matriz Objetivos x Projetos'!$B14,VLOOKUP('Matriz Objetivos x Projetos'!V$10,'Quadro Geral'!$E$9:$H$29,5,FALSE)='Matriz Objetivos x Projetos'!$B14),"S","")),"")</f>
        <v/>
      </c>
      <c r="W14" s="20" t="str">
        <f>IFERROR(IF(VLOOKUP(W$10,'Quadro Geral'!$E$9:$H$43,3,FALSE)='Matriz Objetivos x Projetos'!$B14,"P",IF(OR(VLOOKUP('Matriz Objetivos x Projetos'!W$10,'Quadro Geral'!$E$9:$H$43,4,FALSE)='Matriz Objetivos x Projetos'!$B14,VLOOKUP('Matriz Objetivos x Projetos'!W$10,'Quadro Geral'!$E$9:$H$29,5,FALSE)='Matriz Objetivos x Projetos'!$B14),"S","")),"")</f>
        <v/>
      </c>
      <c r="X14" s="17">
        <f t="shared" si="0"/>
        <v>0</v>
      </c>
      <c r="Y14" s="16" t="str">
        <f t="shared" si="1"/>
        <v>Processos Internos</v>
      </c>
    </row>
    <row r="15" spans="1:25" ht="63" customHeight="1" x14ac:dyDescent="0.2">
      <c r="A15" s="379"/>
      <c r="B15" s="175" t="s">
        <v>72</v>
      </c>
      <c r="C15" s="20" t="str">
        <f>IFERROR(IF(VLOOKUP(C$10,'Quadro Geral'!$E$9:$H$43,3,FALSE)='Matriz Objetivos x Projetos'!$B15,"P",IF(OR(VLOOKUP('Matriz Objetivos x Projetos'!C$10,'Quadro Geral'!$E$9:$H$43,4,FALSE)='Matriz Objetivos x Projetos'!$B15,VLOOKUP('Matriz Objetivos x Projetos'!C$10,'Quadro Geral'!$E$9:$H$29,5,FALSE)='Matriz Objetivos x Projetos'!$B15),"S","")),"")</f>
        <v/>
      </c>
      <c r="D15" s="20" t="str">
        <f>IFERROR(IF(VLOOKUP(D$10,'Quadro Geral'!$E$9:$H$43,3,FALSE)='Matriz Objetivos x Projetos'!$B15,"P",IF(OR(VLOOKUP('Matriz Objetivos x Projetos'!D$10,'Quadro Geral'!$E$9:$H$43,4,FALSE)='Matriz Objetivos x Projetos'!$B15,VLOOKUP('Matriz Objetivos x Projetos'!D$10,'Quadro Geral'!$E$9:$H$29,5,FALSE)='Matriz Objetivos x Projetos'!$B15),"S","")),"")</f>
        <v/>
      </c>
      <c r="E15" s="20" t="str">
        <f>IFERROR(IF(VLOOKUP(E$10,'Quadro Geral'!$E$9:$H$43,3,FALSE)='Matriz Objetivos x Projetos'!$B15,"P",IF(OR(VLOOKUP('Matriz Objetivos x Projetos'!E$10,'Quadro Geral'!$E$9:$H$43,4,FALSE)='Matriz Objetivos x Projetos'!$B15,VLOOKUP('Matriz Objetivos x Projetos'!E$10,'Quadro Geral'!$E$9:$H$29,5,FALSE)='Matriz Objetivos x Projetos'!$B15),"S","")),"")</f>
        <v/>
      </c>
      <c r="F15" s="20" t="str">
        <f>IFERROR(IF(VLOOKUP(F$10,'Quadro Geral'!$E$9:$H$43,3,FALSE)='Matriz Objetivos x Projetos'!$B15,"P",IF(OR(VLOOKUP('Matriz Objetivos x Projetos'!F$10,'Quadro Geral'!$E$9:$H$43,4,FALSE)='Matriz Objetivos x Projetos'!$B15,VLOOKUP('Matriz Objetivos x Projetos'!F$10,'Quadro Geral'!$E$9:$H$29,5,FALSE)='Matriz Objetivos x Projetos'!$B15),"S","")),"")</f>
        <v/>
      </c>
      <c r="G15" s="20" t="str">
        <f>IFERROR(IF(VLOOKUP(G$10,'Quadro Geral'!$E$9:$H$43,3,FALSE)='Matriz Objetivos x Projetos'!$B15,"P",IF(OR(VLOOKUP('Matriz Objetivos x Projetos'!G$10,'Quadro Geral'!$E$9:$H$43,4,FALSE)='Matriz Objetivos x Projetos'!$B15,VLOOKUP('Matriz Objetivos x Projetos'!G$10,'Quadro Geral'!$E$9:$H$29,5,FALSE)='Matriz Objetivos x Projetos'!$B15),"S","")),"")</f>
        <v/>
      </c>
      <c r="H15" s="20" t="str">
        <f>IFERROR(IF(VLOOKUP(H$10,'Quadro Geral'!$E$9:$H$43,3,FALSE)='Matriz Objetivos x Projetos'!$B15,"P",IF(OR(VLOOKUP('Matriz Objetivos x Projetos'!H$10,'Quadro Geral'!$E$9:$H$43,4,FALSE)='Matriz Objetivos x Projetos'!$B15,VLOOKUP('Matriz Objetivos x Projetos'!H$10,'Quadro Geral'!$E$9:$H$29,5,FALSE)='Matriz Objetivos x Projetos'!$B15),"S","")),"")</f>
        <v/>
      </c>
      <c r="I15" s="20" t="str">
        <f>IFERROR(IF(VLOOKUP(I$10,'Quadro Geral'!$E$9:$H$43,3,FALSE)='Matriz Objetivos x Projetos'!$B15,"P",IF(OR(VLOOKUP('Matriz Objetivos x Projetos'!I$10,'Quadro Geral'!$E$9:$H$43,4,FALSE)='Matriz Objetivos x Projetos'!$B15,VLOOKUP('Matriz Objetivos x Projetos'!I$10,'Quadro Geral'!$E$9:$H$29,5,FALSE)='Matriz Objetivos x Projetos'!$B15),"S","")),"")</f>
        <v/>
      </c>
      <c r="J15" s="20" t="str">
        <f>IFERROR(IF(VLOOKUP(J$10,'Quadro Geral'!$E$9:$H$43,3,FALSE)='Matriz Objetivos x Projetos'!$B15,"P",IF(OR(VLOOKUP('Matriz Objetivos x Projetos'!J$10,'Quadro Geral'!$E$9:$H$43,4,FALSE)='Matriz Objetivos x Projetos'!$B15,VLOOKUP('Matriz Objetivos x Projetos'!J$10,'Quadro Geral'!$E$9:$H$29,5,FALSE)='Matriz Objetivos x Projetos'!$B15),"S","")),"")</f>
        <v/>
      </c>
      <c r="K15" s="20" t="str">
        <f>IFERROR(IF(VLOOKUP(K$10,'Quadro Geral'!$E$9:$H$43,3,FALSE)='Matriz Objetivos x Projetos'!$B15,"P",IF(OR(VLOOKUP('Matriz Objetivos x Projetos'!K$10,'Quadro Geral'!$E$9:$H$43,4,FALSE)='Matriz Objetivos x Projetos'!$B15,VLOOKUP('Matriz Objetivos x Projetos'!K$10,'Quadro Geral'!$E$9:$H$29,5,FALSE)='Matriz Objetivos x Projetos'!$B15),"S","")),"")</f>
        <v/>
      </c>
      <c r="L15" s="20" t="str">
        <f>IFERROR(IF(VLOOKUP(L$10,'Quadro Geral'!$E$9:$H$43,3,FALSE)='Matriz Objetivos x Projetos'!$B15,"P",IF(OR(VLOOKUP('Matriz Objetivos x Projetos'!L$10,'Quadro Geral'!$E$9:$H$43,4,FALSE)='Matriz Objetivos x Projetos'!$B15,VLOOKUP('Matriz Objetivos x Projetos'!L$10,'Quadro Geral'!$E$9:$H$29,5,FALSE)='Matriz Objetivos x Projetos'!$B15),"S","")),"")</f>
        <v/>
      </c>
      <c r="M15" s="20" t="str">
        <f>IFERROR(IF(VLOOKUP(M$10,'Quadro Geral'!$E$9:$H$43,3,FALSE)='Matriz Objetivos x Projetos'!$B15,"P",IF(OR(VLOOKUP('Matriz Objetivos x Projetos'!M$10,'Quadro Geral'!$E$9:$H$43,4,FALSE)='Matriz Objetivos x Projetos'!$B15,VLOOKUP('Matriz Objetivos x Projetos'!M$10,'Quadro Geral'!$E$9:$H$29,5,FALSE)='Matriz Objetivos x Projetos'!$B15),"S","")),"")</f>
        <v/>
      </c>
      <c r="N15" s="20" t="str">
        <f>IFERROR(IF(VLOOKUP(N$10,'Quadro Geral'!$E$9:$H$43,3,FALSE)='Matriz Objetivos x Projetos'!$B15,"P",IF(OR(VLOOKUP('Matriz Objetivos x Projetos'!N$10,'Quadro Geral'!$E$9:$H$43,4,FALSE)='Matriz Objetivos x Projetos'!$B15,VLOOKUP('Matriz Objetivos x Projetos'!N$10,'Quadro Geral'!$E$9:$H$29,5,FALSE)='Matriz Objetivos x Projetos'!$B15),"S","")),"")</f>
        <v/>
      </c>
      <c r="O15" s="20" t="str">
        <f>IFERROR(IF(VLOOKUP(O$10,'Quadro Geral'!$E$9:$H$43,3,FALSE)='Matriz Objetivos x Projetos'!$B15,"P",IF(OR(VLOOKUP('Matriz Objetivos x Projetos'!O$10,'Quadro Geral'!$E$9:$H$43,4,FALSE)='Matriz Objetivos x Projetos'!$B15,VLOOKUP('Matriz Objetivos x Projetos'!O$10,'Quadro Geral'!$E$9:$H$29,5,FALSE)='Matriz Objetivos x Projetos'!$B15),"S","")),"")</f>
        <v/>
      </c>
      <c r="P15" s="20" t="str">
        <f>IFERROR(IF(VLOOKUP(P$10,'Quadro Geral'!$E$9:$H$43,3,FALSE)='Matriz Objetivos x Projetos'!$B15,"P",IF(OR(VLOOKUP('Matriz Objetivos x Projetos'!P$10,'Quadro Geral'!$E$9:$H$43,4,FALSE)='Matriz Objetivos x Projetos'!$B15,VLOOKUP('Matriz Objetivos x Projetos'!P$10,'Quadro Geral'!$E$9:$H$29,5,FALSE)='Matriz Objetivos x Projetos'!$B15),"S","")),"")</f>
        <v/>
      </c>
      <c r="Q15" s="20" t="str">
        <f>IFERROR(IF(VLOOKUP(Q$10,'Quadro Geral'!$E$9:$H$43,3,FALSE)='Matriz Objetivos x Projetos'!$B15,"P",IF(OR(VLOOKUP('Matriz Objetivos x Projetos'!Q$10,'Quadro Geral'!$E$9:$H$43,4,FALSE)='Matriz Objetivos x Projetos'!$B15,VLOOKUP('Matriz Objetivos x Projetos'!Q$10,'Quadro Geral'!$E$9:$H$29,5,FALSE)='Matriz Objetivos x Projetos'!$B15),"S","")),"")</f>
        <v/>
      </c>
      <c r="R15" s="20" t="str">
        <f>IFERROR(IF(VLOOKUP(R$10,'Quadro Geral'!$E$9:$H$43,3,FALSE)='Matriz Objetivos x Projetos'!$B15,"P",IF(OR(VLOOKUP('Matriz Objetivos x Projetos'!R$10,'Quadro Geral'!$E$9:$H$43,4,FALSE)='Matriz Objetivos x Projetos'!$B15,VLOOKUP('Matriz Objetivos x Projetos'!R$10,'Quadro Geral'!$E$9:$H$29,5,FALSE)='Matriz Objetivos x Projetos'!$B15),"S","")),"")</f>
        <v/>
      </c>
      <c r="S15" s="20" t="str">
        <f>IFERROR(IF(VLOOKUP(S$10,'Quadro Geral'!$E$9:$H$43,3,FALSE)='Matriz Objetivos x Projetos'!$B15,"P",IF(OR(VLOOKUP('Matriz Objetivos x Projetos'!S$10,'Quadro Geral'!$E$9:$H$43,4,FALSE)='Matriz Objetivos x Projetos'!$B15,VLOOKUP('Matriz Objetivos x Projetos'!S$10,'Quadro Geral'!$E$9:$H$29,5,FALSE)='Matriz Objetivos x Projetos'!$B15),"S","")),"")</f>
        <v/>
      </c>
      <c r="T15" s="20" t="str">
        <f>IFERROR(IF(VLOOKUP(T$10,'Quadro Geral'!$E$9:$H$43,3,FALSE)='Matriz Objetivos x Projetos'!$B15,"P",IF(OR(VLOOKUP('Matriz Objetivos x Projetos'!T$10,'Quadro Geral'!$E$9:$H$43,4,FALSE)='Matriz Objetivos x Projetos'!$B15,VLOOKUP('Matriz Objetivos x Projetos'!T$10,'Quadro Geral'!$E$9:$H$29,5,FALSE)='Matriz Objetivos x Projetos'!$B15),"S","")),"")</f>
        <v/>
      </c>
      <c r="U15" s="20" t="str">
        <f>IFERROR(IF(VLOOKUP(U$10,'Quadro Geral'!$E$9:$H$43,3,FALSE)='Matriz Objetivos x Projetos'!$B15,"P",IF(OR(VLOOKUP('Matriz Objetivos x Projetos'!U$10,'Quadro Geral'!$E$9:$H$43,4,FALSE)='Matriz Objetivos x Projetos'!$B15,VLOOKUP('Matriz Objetivos x Projetos'!U$10,'Quadro Geral'!$E$9:$H$29,5,FALSE)='Matriz Objetivos x Projetos'!$B15),"S","")),"")</f>
        <v/>
      </c>
      <c r="V15" s="20" t="str">
        <f>IFERROR(IF(VLOOKUP(V$10,'Quadro Geral'!$E$9:$H$43,3,FALSE)='Matriz Objetivos x Projetos'!$B15,"P",IF(OR(VLOOKUP('Matriz Objetivos x Projetos'!V$10,'Quadro Geral'!$E$9:$H$43,4,FALSE)='Matriz Objetivos x Projetos'!$B15,VLOOKUP('Matriz Objetivos x Projetos'!V$10,'Quadro Geral'!$E$9:$H$29,5,FALSE)='Matriz Objetivos x Projetos'!$B15),"S","")),"")</f>
        <v/>
      </c>
      <c r="W15" s="20" t="str">
        <f>IFERROR(IF(VLOOKUP(W$10,'Quadro Geral'!$E$9:$H$43,3,FALSE)='Matriz Objetivos x Projetos'!$B15,"P",IF(OR(VLOOKUP('Matriz Objetivos x Projetos'!W$10,'Quadro Geral'!$E$9:$H$43,4,FALSE)='Matriz Objetivos x Projetos'!$B15,VLOOKUP('Matriz Objetivos x Projetos'!W$10,'Quadro Geral'!$E$9:$H$29,5,FALSE)='Matriz Objetivos x Projetos'!$B15),"S","")),"")</f>
        <v/>
      </c>
      <c r="X15" s="17">
        <f t="shared" si="0"/>
        <v>0</v>
      </c>
      <c r="Y15" s="16" t="str">
        <f t="shared" si="1"/>
        <v>Processos Internos</v>
      </c>
    </row>
    <row r="16" spans="1:25" ht="63" customHeight="1" x14ac:dyDescent="0.2">
      <c r="A16" s="379"/>
      <c r="B16" s="175" t="s">
        <v>73</v>
      </c>
      <c r="C16" s="20" t="str">
        <f>IFERROR(IF(VLOOKUP(C$10,'Quadro Geral'!$E$9:$H$43,3,FALSE)='Matriz Objetivos x Projetos'!$B16,"P",IF(OR(VLOOKUP('Matriz Objetivos x Projetos'!C$10,'Quadro Geral'!$E$9:$H$43,4,FALSE)='Matriz Objetivos x Projetos'!$B16,VLOOKUP('Matriz Objetivos x Projetos'!C$10,'Quadro Geral'!$E$9:$H$29,5,FALSE)='Matriz Objetivos x Projetos'!$B16),"S","")),"")</f>
        <v/>
      </c>
      <c r="D16" s="20" t="str">
        <f>IFERROR(IF(VLOOKUP(D$10,'Quadro Geral'!$E$9:$H$43,3,FALSE)='Matriz Objetivos x Projetos'!$B16,"P",IF(OR(VLOOKUP('Matriz Objetivos x Projetos'!D$10,'Quadro Geral'!$E$9:$H$43,4,FALSE)='Matriz Objetivos x Projetos'!$B16,VLOOKUP('Matriz Objetivos x Projetos'!D$10,'Quadro Geral'!$E$9:$H$29,5,FALSE)='Matriz Objetivos x Projetos'!$B16),"S","")),"")</f>
        <v/>
      </c>
      <c r="E16" s="20" t="str">
        <f>IFERROR(IF(VLOOKUP(E$10,'Quadro Geral'!$E$9:$H$43,3,FALSE)='Matriz Objetivos x Projetos'!$B16,"P",IF(OR(VLOOKUP('Matriz Objetivos x Projetos'!E$10,'Quadro Geral'!$E$9:$H$43,4,FALSE)='Matriz Objetivos x Projetos'!$B16,VLOOKUP('Matriz Objetivos x Projetos'!E$10,'Quadro Geral'!$E$9:$H$29,5,FALSE)='Matriz Objetivos x Projetos'!$B16),"S","")),"")</f>
        <v/>
      </c>
      <c r="F16" s="20" t="str">
        <f>IFERROR(IF(VLOOKUP(F$10,'Quadro Geral'!$E$9:$H$43,3,FALSE)='Matriz Objetivos x Projetos'!$B16,"P",IF(OR(VLOOKUP('Matriz Objetivos x Projetos'!F$10,'Quadro Geral'!$E$9:$H$43,4,FALSE)='Matriz Objetivos x Projetos'!$B16,VLOOKUP('Matriz Objetivos x Projetos'!F$10,'Quadro Geral'!$E$9:$H$29,5,FALSE)='Matriz Objetivos x Projetos'!$B16),"S","")),"")</f>
        <v/>
      </c>
      <c r="G16" s="20" t="str">
        <f>IFERROR(IF(VLOOKUP(G$10,'Quadro Geral'!$E$9:$H$43,3,FALSE)='Matriz Objetivos x Projetos'!$B16,"P",IF(OR(VLOOKUP('Matriz Objetivos x Projetos'!G$10,'Quadro Geral'!$E$9:$H$43,4,FALSE)='Matriz Objetivos x Projetos'!$B16,VLOOKUP('Matriz Objetivos x Projetos'!G$10,'Quadro Geral'!$E$9:$H$29,5,FALSE)='Matriz Objetivos x Projetos'!$B16),"S","")),"")</f>
        <v/>
      </c>
      <c r="H16" s="20" t="str">
        <f>IFERROR(IF(VLOOKUP(H$10,'Quadro Geral'!$E$9:$H$43,3,FALSE)='Matriz Objetivos x Projetos'!$B16,"P",IF(OR(VLOOKUP('Matriz Objetivos x Projetos'!H$10,'Quadro Geral'!$E$9:$H$43,4,FALSE)='Matriz Objetivos x Projetos'!$B16,VLOOKUP('Matriz Objetivos x Projetos'!H$10,'Quadro Geral'!$E$9:$H$29,5,FALSE)='Matriz Objetivos x Projetos'!$B16),"S","")),"")</f>
        <v/>
      </c>
      <c r="I16" s="20" t="str">
        <f>IFERROR(IF(VLOOKUP(I$10,'Quadro Geral'!$E$9:$H$43,3,FALSE)='Matriz Objetivos x Projetos'!$B16,"P",IF(OR(VLOOKUP('Matriz Objetivos x Projetos'!I$10,'Quadro Geral'!$E$9:$H$43,4,FALSE)='Matriz Objetivos x Projetos'!$B16,VLOOKUP('Matriz Objetivos x Projetos'!I$10,'Quadro Geral'!$E$9:$H$29,5,FALSE)='Matriz Objetivos x Projetos'!$B16),"S","")),"")</f>
        <v/>
      </c>
      <c r="J16" s="20" t="str">
        <f>IFERROR(IF(VLOOKUP(J$10,'Quadro Geral'!$E$9:$H$43,3,FALSE)='Matriz Objetivos x Projetos'!$B16,"P",IF(OR(VLOOKUP('Matriz Objetivos x Projetos'!J$10,'Quadro Geral'!$E$9:$H$43,4,FALSE)='Matriz Objetivos x Projetos'!$B16,VLOOKUP('Matriz Objetivos x Projetos'!J$10,'Quadro Geral'!$E$9:$H$29,5,FALSE)='Matriz Objetivos x Projetos'!$B16),"S","")),"")</f>
        <v/>
      </c>
      <c r="K16" s="20" t="str">
        <f>IFERROR(IF(VLOOKUP(K$10,'Quadro Geral'!$E$9:$H$43,3,FALSE)='Matriz Objetivos x Projetos'!$B16,"P",IF(OR(VLOOKUP('Matriz Objetivos x Projetos'!K$10,'Quadro Geral'!$E$9:$H$43,4,FALSE)='Matriz Objetivos x Projetos'!$B16,VLOOKUP('Matriz Objetivos x Projetos'!K$10,'Quadro Geral'!$E$9:$H$29,5,FALSE)='Matriz Objetivos x Projetos'!$B16),"S","")),"")</f>
        <v/>
      </c>
      <c r="L16" s="20" t="str">
        <f>IFERROR(IF(VLOOKUP(L$10,'Quadro Geral'!$E$9:$H$43,3,FALSE)='Matriz Objetivos x Projetos'!$B16,"P",IF(OR(VLOOKUP('Matriz Objetivos x Projetos'!L$10,'Quadro Geral'!$E$9:$H$43,4,FALSE)='Matriz Objetivos x Projetos'!$B16,VLOOKUP('Matriz Objetivos x Projetos'!L$10,'Quadro Geral'!$E$9:$H$29,5,FALSE)='Matriz Objetivos x Projetos'!$B16),"S","")),"")</f>
        <v/>
      </c>
      <c r="M16" s="20" t="str">
        <f>IFERROR(IF(VLOOKUP(M$10,'Quadro Geral'!$E$9:$H$43,3,FALSE)='Matriz Objetivos x Projetos'!$B16,"P",IF(OR(VLOOKUP('Matriz Objetivos x Projetos'!M$10,'Quadro Geral'!$E$9:$H$43,4,FALSE)='Matriz Objetivos x Projetos'!$B16,VLOOKUP('Matriz Objetivos x Projetos'!M$10,'Quadro Geral'!$E$9:$H$29,5,FALSE)='Matriz Objetivos x Projetos'!$B16),"S","")),"")</f>
        <v/>
      </c>
      <c r="N16" s="20" t="str">
        <f>IFERROR(IF(VLOOKUP(N$10,'Quadro Geral'!$E$9:$H$43,3,FALSE)='Matriz Objetivos x Projetos'!$B16,"P",IF(OR(VLOOKUP('Matriz Objetivos x Projetos'!N$10,'Quadro Geral'!$E$9:$H$43,4,FALSE)='Matriz Objetivos x Projetos'!$B16,VLOOKUP('Matriz Objetivos x Projetos'!N$10,'Quadro Geral'!$E$9:$H$29,5,FALSE)='Matriz Objetivos x Projetos'!$B16),"S","")),"")</f>
        <v>P</v>
      </c>
      <c r="O16" s="20" t="str">
        <f>IFERROR(IF(VLOOKUP(O$10,'Quadro Geral'!$E$9:$H$43,3,FALSE)='Matriz Objetivos x Projetos'!$B16,"P",IF(OR(VLOOKUP('Matriz Objetivos x Projetos'!O$10,'Quadro Geral'!$E$9:$H$43,4,FALSE)='Matriz Objetivos x Projetos'!$B16,VLOOKUP('Matriz Objetivos x Projetos'!O$10,'Quadro Geral'!$E$9:$H$29,5,FALSE)='Matriz Objetivos x Projetos'!$B16),"S","")),"")</f>
        <v/>
      </c>
      <c r="P16" s="20" t="str">
        <f>IFERROR(IF(VLOOKUP(P$10,'Quadro Geral'!$E$9:$H$43,3,FALSE)='Matriz Objetivos x Projetos'!$B16,"P",IF(OR(VLOOKUP('Matriz Objetivos x Projetos'!P$10,'Quadro Geral'!$E$9:$H$43,4,FALSE)='Matriz Objetivos x Projetos'!$B16,VLOOKUP('Matriz Objetivos x Projetos'!P$10,'Quadro Geral'!$E$9:$H$29,5,FALSE)='Matriz Objetivos x Projetos'!$B16),"S","")),"")</f>
        <v/>
      </c>
      <c r="Q16" s="20" t="str">
        <f>IFERROR(IF(VLOOKUP(Q$10,'Quadro Geral'!$E$9:$H$43,3,FALSE)='Matriz Objetivos x Projetos'!$B16,"P",IF(OR(VLOOKUP('Matriz Objetivos x Projetos'!Q$10,'Quadro Geral'!$E$9:$H$43,4,FALSE)='Matriz Objetivos x Projetos'!$B16,VLOOKUP('Matriz Objetivos x Projetos'!Q$10,'Quadro Geral'!$E$9:$H$29,5,FALSE)='Matriz Objetivos x Projetos'!$B16),"S","")),"")</f>
        <v/>
      </c>
      <c r="R16" s="20" t="str">
        <f>IFERROR(IF(VLOOKUP(R$10,'Quadro Geral'!$E$9:$H$43,3,FALSE)='Matriz Objetivos x Projetos'!$B16,"P",IF(OR(VLOOKUP('Matriz Objetivos x Projetos'!R$10,'Quadro Geral'!$E$9:$H$43,4,FALSE)='Matriz Objetivos x Projetos'!$B16,VLOOKUP('Matriz Objetivos x Projetos'!R$10,'Quadro Geral'!$E$9:$H$29,5,FALSE)='Matriz Objetivos x Projetos'!$B16),"S","")),"")</f>
        <v/>
      </c>
      <c r="S16" s="20" t="str">
        <f>IFERROR(IF(VLOOKUP(S$10,'Quadro Geral'!$E$9:$H$43,3,FALSE)='Matriz Objetivos x Projetos'!$B16,"P",IF(OR(VLOOKUP('Matriz Objetivos x Projetos'!S$10,'Quadro Geral'!$E$9:$H$43,4,FALSE)='Matriz Objetivos x Projetos'!$B16,VLOOKUP('Matriz Objetivos x Projetos'!S$10,'Quadro Geral'!$E$9:$H$29,5,FALSE)='Matriz Objetivos x Projetos'!$B16),"S","")),"")</f>
        <v/>
      </c>
      <c r="T16" s="20" t="str">
        <f>IFERROR(IF(VLOOKUP(T$10,'Quadro Geral'!$E$9:$H$43,3,FALSE)='Matriz Objetivos x Projetos'!$B16,"P",IF(OR(VLOOKUP('Matriz Objetivos x Projetos'!T$10,'Quadro Geral'!$E$9:$H$43,4,FALSE)='Matriz Objetivos x Projetos'!$B16,VLOOKUP('Matriz Objetivos x Projetos'!T$10,'Quadro Geral'!$E$9:$H$29,5,FALSE)='Matriz Objetivos x Projetos'!$B16),"S","")),"")</f>
        <v/>
      </c>
      <c r="U16" s="20" t="str">
        <f>IFERROR(IF(VLOOKUP(U$10,'Quadro Geral'!$E$9:$H$43,3,FALSE)='Matriz Objetivos x Projetos'!$B16,"P",IF(OR(VLOOKUP('Matriz Objetivos x Projetos'!U$10,'Quadro Geral'!$E$9:$H$43,4,FALSE)='Matriz Objetivos x Projetos'!$B16,VLOOKUP('Matriz Objetivos x Projetos'!U$10,'Quadro Geral'!$E$9:$H$29,5,FALSE)='Matriz Objetivos x Projetos'!$B16),"S","")),"")</f>
        <v/>
      </c>
      <c r="V16" s="20" t="str">
        <f>IFERROR(IF(VLOOKUP(V$10,'Quadro Geral'!$E$9:$H$43,3,FALSE)='Matriz Objetivos x Projetos'!$B16,"P",IF(OR(VLOOKUP('Matriz Objetivos x Projetos'!V$10,'Quadro Geral'!$E$9:$H$43,4,FALSE)='Matriz Objetivos x Projetos'!$B16,VLOOKUP('Matriz Objetivos x Projetos'!V$10,'Quadro Geral'!$E$9:$H$29,5,FALSE)='Matriz Objetivos x Projetos'!$B16),"S","")),"")</f>
        <v/>
      </c>
      <c r="W16" s="20" t="str">
        <f>IFERROR(IF(VLOOKUP(W$10,'Quadro Geral'!$E$9:$H$43,3,FALSE)='Matriz Objetivos x Projetos'!$B16,"P",IF(OR(VLOOKUP('Matriz Objetivos x Projetos'!W$10,'Quadro Geral'!$E$9:$H$43,4,FALSE)='Matriz Objetivos x Projetos'!$B16,VLOOKUP('Matriz Objetivos x Projetos'!W$10,'Quadro Geral'!$E$9:$H$29,5,FALSE)='Matriz Objetivos x Projetos'!$B16),"S","")),"")</f>
        <v/>
      </c>
      <c r="X16" s="17">
        <f t="shared" si="0"/>
        <v>0</v>
      </c>
      <c r="Y16" s="16" t="str">
        <f t="shared" si="1"/>
        <v>Processos Internos</v>
      </c>
    </row>
    <row r="17" spans="1:25" ht="63" customHeight="1" x14ac:dyDescent="0.2">
      <c r="A17" s="379"/>
      <c r="B17" s="175" t="s">
        <v>61</v>
      </c>
      <c r="C17" s="20" t="str">
        <f>IFERROR(IF(VLOOKUP(C$10,'Quadro Geral'!$E$9:$H$43,3,FALSE)='Matriz Objetivos x Projetos'!$B17,"P",IF(OR(VLOOKUP('Matriz Objetivos x Projetos'!C$10,'Quadro Geral'!$E$9:$H$43,4,FALSE)='Matriz Objetivos x Projetos'!$B17,VLOOKUP('Matriz Objetivos x Projetos'!C$10,'Quadro Geral'!$E$9:$H$29,5,FALSE)='Matriz Objetivos x Projetos'!$B17),"S","")),"")</f>
        <v>P</v>
      </c>
      <c r="D17" s="20" t="str">
        <f>IFERROR(IF(VLOOKUP(D$10,'Quadro Geral'!$E$9:$H$43,3,FALSE)='Matriz Objetivos x Projetos'!$B17,"P",IF(OR(VLOOKUP('Matriz Objetivos x Projetos'!D$10,'Quadro Geral'!$E$9:$H$43,4,FALSE)='Matriz Objetivos x Projetos'!$B17,VLOOKUP('Matriz Objetivos x Projetos'!D$10,'Quadro Geral'!$E$9:$H$29,5,FALSE)='Matriz Objetivos x Projetos'!$B17),"S","")),"")</f>
        <v/>
      </c>
      <c r="E17" s="20" t="str">
        <f>IFERROR(IF(VLOOKUP(E$10,'Quadro Geral'!$E$9:$H$43,3,FALSE)='Matriz Objetivos x Projetos'!$B17,"P",IF(OR(VLOOKUP('Matriz Objetivos x Projetos'!E$10,'Quadro Geral'!$E$9:$H$43,4,FALSE)='Matriz Objetivos x Projetos'!$B17,VLOOKUP('Matriz Objetivos x Projetos'!E$10,'Quadro Geral'!$E$9:$H$29,5,FALSE)='Matriz Objetivos x Projetos'!$B17),"S","")),"")</f>
        <v/>
      </c>
      <c r="F17" s="20" t="str">
        <f>IFERROR(IF(VLOOKUP(F$10,'Quadro Geral'!$E$9:$H$43,3,FALSE)='Matriz Objetivos x Projetos'!$B17,"P",IF(OR(VLOOKUP('Matriz Objetivos x Projetos'!F$10,'Quadro Geral'!$E$9:$H$43,4,FALSE)='Matriz Objetivos x Projetos'!$B17,VLOOKUP('Matriz Objetivos x Projetos'!F$10,'Quadro Geral'!$E$9:$H$29,5,FALSE)='Matriz Objetivos x Projetos'!$B17),"S","")),"")</f>
        <v/>
      </c>
      <c r="G17" s="20" t="str">
        <f>IFERROR(IF(VLOOKUP(G$10,'Quadro Geral'!$E$9:$H$43,3,FALSE)='Matriz Objetivos x Projetos'!$B17,"P",IF(OR(VLOOKUP('Matriz Objetivos x Projetos'!G$10,'Quadro Geral'!$E$9:$H$43,4,FALSE)='Matriz Objetivos x Projetos'!$B17,VLOOKUP('Matriz Objetivos x Projetos'!G$10,'Quadro Geral'!$E$9:$H$29,5,FALSE)='Matriz Objetivos x Projetos'!$B17),"S","")),"")</f>
        <v/>
      </c>
      <c r="H17" s="20" t="str">
        <f>IFERROR(IF(VLOOKUP(H$10,'Quadro Geral'!$E$9:$H$43,3,FALSE)='Matriz Objetivos x Projetos'!$B17,"P",IF(OR(VLOOKUP('Matriz Objetivos x Projetos'!H$10,'Quadro Geral'!$E$9:$H$43,4,FALSE)='Matriz Objetivos x Projetos'!$B17,VLOOKUP('Matriz Objetivos x Projetos'!H$10,'Quadro Geral'!$E$9:$H$29,5,FALSE)='Matriz Objetivos x Projetos'!$B17),"S","")),"")</f>
        <v/>
      </c>
      <c r="I17" s="20" t="str">
        <f>IFERROR(IF(VLOOKUP(I$10,'Quadro Geral'!$E$9:$H$43,3,FALSE)='Matriz Objetivos x Projetos'!$B17,"P",IF(OR(VLOOKUP('Matriz Objetivos x Projetos'!I$10,'Quadro Geral'!$E$9:$H$43,4,FALSE)='Matriz Objetivos x Projetos'!$B17,VLOOKUP('Matriz Objetivos x Projetos'!I$10,'Quadro Geral'!$E$9:$H$29,5,FALSE)='Matriz Objetivos x Projetos'!$B17),"S","")),"")</f>
        <v/>
      </c>
      <c r="J17" s="20" t="str">
        <f>IFERROR(IF(VLOOKUP(J$10,'Quadro Geral'!$E$9:$H$43,3,FALSE)='Matriz Objetivos x Projetos'!$B17,"P",IF(OR(VLOOKUP('Matriz Objetivos x Projetos'!J$10,'Quadro Geral'!$E$9:$H$43,4,FALSE)='Matriz Objetivos x Projetos'!$B17,VLOOKUP('Matriz Objetivos x Projetos'!J$10,'Quadro Geral'!$E$9:$H$29,5,FALSE)='Matriz Objetivos x Projetos'!$B17),"S","")),"")</f>
        <v/>
      </c>
      <c r="K17" s="20" t="str">
        <f>IFERROR(IF(VLOOKUP(K$10,'Quadro Geral'!$E$9:$H$43,3,FALSE)='Matriz Objetivos x Projetos'!$B17,"P",IF(OR(VLOOKUP('Matriz Objetivos x Projetos'!K$10,'Quadro Geral'!$E$9:$H$43,4,FALSE)='Matriz Objetivos x Projetos'!$B17,VLOOKUP('Matriz Objetivos x Projetos'!K$10,'Quadro Geral'!$E$9:$H$29,5,FALSE)='Matriz Objetivos x Projetos'!$B17),"S","")),"")</f>
        <v/>
      </c>
      <c r="L17" s="20" t="str">
        <f>IFERROR(IF(VLOOKUP(L$10,'Quadro Geral'!$E$9:$H$43,3,FALSE)='Matriz Objetivos x Projetos'!$B17,"P",IF(OR(VLOOKUP('Matriz Objetivos x Projetos'!L$10,'Quadro Geral'!$E$9:$H$43,4,FALSE)='Matriz Objetivos x Projetos'!$B17,VLOOKUP('Matriz Objetivos x Projetos'!L$10,'Quadro Geral'!$E$9:$H$29,5,FALSE)='Matriz Objetivos x Projetos'!$B17),"S","")),"")</f>
        <v/>
      </c>
      <c r="M17" s="20" t="str">
        <f>IFERROR(IF(VLOOKUP(M$10,'Quadro Geral'!$E$9:$H$43,3,FALSE)='Matriz Objetivos x Projetos'!$B17,"P",IF(OR(VLOOKUP('Matriz Objetivos x Projetos'!M$10,'Quadro Geral'!$E$9:$H$43,4,FALSE)='Matriz Objetivos x Projetos'!$B17,VLOOKUP('Matriz Objetivos x Projetos'!M$10,'Quadro Geral'!$E$9:$H$29,5,FALSE)='Matriz Objetivos x Projetos'!$B17),"S","")),"")</f>
        <v/>
      </c>
      <c r="N17" s="20" t="str">
        <f>IFERROR(IF(VLOOKUP(N$10,'Quadro Geral'!$E$9:$H$43,3,FALSE)='Matriz Objetivos x Projetos'!$B17,"P",IF(OR(VLOOKUP('Matriz Objetivos x Projetos'!N$10,'Quadro Geral'!$E$9:$H$43,4,FALSE)='Matriz Objetivos x Projetos'!$B17,VLOOKUP('Matriz Objetivos x Projetos'!N$10,'Quadro Geral'!$E$9:$H$29,5,FALSE)='Matriz Objetivos x Projetos'!$B17),"S","")),"")</f>
        <v/>
      </c>
      <c r="O17" s="20" t="str">
        <f>IFERROR(IF(VLOOKUP(O$10,'Quadro Geral'!$E$9:$H$43,3,FALSE)='Matriz Objetivos x Projetos'!$B17,"P",IF(OR(VLOOKUP('Matriz Objetivos x Projetos'!O$10,'Quadro Geral'!$E$9:$H$43,4,FALSE)='Matriz Objetivos x Projetos'!$B17,VLOOKUP('Matriz Objetivos x Projetos'!O$10,'Quadro Geral'!$E$9:$H$29,5,FALSE)='Matriz Objetivos x Projetos'!$B17),"S","")),"")</f>
        <v>P</v>
      </c>
      <c r="P17" s="20" t="str">
        <f>IFERROR(IF(VLOOKUP(P$10,'Quadro Geral'!$E$9:$H$43,3,FALSE)='Matriz Objetivos x Projetos'!$B17,"P",IF(OR(VLOOKUP('Matriz Objetivos x Projetos'!P$10,'Quadro Geral'!$E$9:$H$43,4,FALSE)='Matriz Objetivos x Projetos'!$B17,VLOOKUP('Matriz Objetivos x Projetos'!P$10,'Quadro Geral'!$E$9:$H$29,5,FALSE)='Matriz Objetivos x Projetos'!$B17),"S","")),"")</f>
        <v/>
      </c>
      <c r="Q17" s="20" t="str">
        <f>IFERROR(IF(VLOOKUP(Q$10,'Quadro Geral'!$E$9:$H$43,3,FALSE)='Matriz Objetivos x Projetos'!$B17,"P",IF(OR(VLOOKUP('Matriz Objetivos x Projetos'!Q$10,'Quadro Geral'!$E$9:$H$43,4,FALSE)='Matriz Objetivos x Projetos'!$B17,VLOOKUP('Matriz Objetivos x Projetos'!Q$10,'Quadro Geral'!$E$9:$H$29,5,FALSE)='Matriz Objetivos x Projetos'!$B17),"S","")),"")</f>
        <v/>
      </c>
      <c r="R17" s="20" t="str">
        <f>IFERROR(IF(VLOOKUP(R$10,'Quadro Geral'!$E$9:$H$43,3,FALSE)='Matriz Objetivos x Projetos'!$B17,"P",IF(OR(VLOOKUP('Matriz Objetivos x Projetos'!R$10,'Quadro Geral'!$E$9:$H$43,4,FALSE)='Matriz Objetivos x Projetos'!$B17,VLOOKUP('Matriz Objetivos x Projetos'!R$10,'Quadro Geral'!$E$9:$H$29,5,FALSE)='Matriz Objetivos x Projetos'!$B17),"S","")),"")</f>
        <v/>
      </c>
      <c r="S17" s="20" t="str">
        <f>IFERROR(IF(VLOOKUP(S$10,'Quadro Geral'!$E$9:$H$43,3,FALSE)='Matriz Objetivos x Projetos'!$B17,"P",IF(OR(VLOOKUP('Matriz Objetivos x Projetos'!S$10,'Quadro Geral'!$E$9:$H$43,4,FALSE)='Matriz Objetivos x Projetos'!$B17,VLOOKUP('Matriz Objetivos x Projetos'!S$10,'Quadro Geral'!$E$9:$H$29,5,FALSE)='Matriz Objetivos x Projetos'!$B17),"S","")),"")</f>
        <v>P</v>
      </c>
      <c r="T17" s="20" t="str">
        <f>IFERROR(IF(VLOOKUP(T$10,'Quadro Geral'!$E$9:$H$43,3,FALSE)='Matriz Objetivos x Projetos'!$B17,"P",IF(OR(VLOOKUP('Matriz Objetivos x Projetos'!T$10,'Quadro Geral'!$E$9:$H$43,4,FALSE)='Matriz Objetivos x Projetos'!$B17,VLOOKUP('Matriz Objetivos x Projetos'!T$10,'Quadro Geral'!$E$9:$H$29,5,FALSE)='Matriz Objetivos x Projetos'!$B17),"S","")),"")</f>
        <v/>
      </c>
      <c r="U17" s="20" t="str">
        <f>IFERROR(IF(VLOOKUP(U$10,'Quadro Geral'!$E$9:$H$43,3,FALSE)='Matriz Objetivos x Projetos'!$B17,"P",IF(OR(VLOOKUP('Matriz Objetivos x Projetos'!U$10,'Quadro Geral'!$E$9:$H$43,4,FALSE)='Matriz Objetivos x Projetos'!$B17,VLOOKUP('Matriz Objetivos x Projetos'!U$10,'Quadro Geral'!$E$9:$H$29,5,FALSE)='Matriz Objetivos x Projetos'!$B17),"S","")),"")</f>
        <v/>
      </c>
      <c r="V17" s="20" t="str">
        <f>IFERROR(IF(VLOOKUP(V$10,'Quadro Geral'!$E$9:$H$43,3,FALSE)='Matriz Objetivos x Projetos'!$B17,"P",IF(OR(VLOOKUP('Matriz Objetivos x Projetos'!V$10,'Quadro Geral'!$E$9:$H$43,4,FALSE)='Matriz Objetivos x Projetos'!$B17,VLOOKUP('Matriz Objetivos x Projetos'!V$10,'Quadro Geral'!$E$9:$H$29,5,FALSE)='Matriz Objetivos x Projetos'!$B17),"S","")),"")</f>
        <v/>
      </c>
      <c r="W17" s="20" t="str">
        <f>IFERROR(IF(VLOOKUP(W$10,'Quadro Geral'!$E$9:$H$43,3,FALSE)='Matriz Objetivos x Projetos'!$B17,"P",IF(OR(VLOOKUP('Matriz Objetivos x Projetos'!W$10,'Quadro Geral'!$E$9:$H$43,4,FALSE)='Matriz Objetivos x Projetos'!$B17,VLOOKUP('Matriz Objetivos x Projetos'!W$10,'Quadro Geral'!$E$9:$H$29,5,FALSE)='Matriz Objetivos x Projetos'!$B17),"S","")),"")</f>
        <v/>
      </c>
      <c r="X17" s="17">
        <f t="shared" si="0"/>
        <v>0</v>
      </c>
      <c r="Y17" s="16" t="str">
        <f t="shared" si="1"/>
        <v>Processos Internos</v>
      </c>
    </row>
    <row r="18" spans="1:25" ht="63" customHeight="1" x14ac:dyDescent="0.2">
      <c r="A18" s="379"/>
      <c r="B18" s="175" t="s">
        <v>62</v>
      </c>
      <c r="C18" s="20" t="str">
        <f>IFERROR(IF(VLOOKUP(C$10,'Quadro Geral'!$E$9:$H$43,3,FALSE)='Matriz Objetivos x Projetos'!$B18,"P",IF(OR(VLOOKUP('Matriz Objetivos x Projetos'!C$10,'Quadro Geral'!$E$9:$H$43,4,FALSE)='Matriz Objetivos x Projetos'!$B18,VLOOKUP('Matriz Objetivos x Projetos'!C$10,'Quadro Geral'!$E$9:$H$29,5,FALSE)='Matriz Objetivos x Projetos'!$B18),"S","")),"")</f>
        <v/>
      </c>
      <c r="D18" s="20" t="str">
        <f>IFERROR(IF(VLOOKUP(D$10,'Quadro Geral'!$E$9:$H$43,3,FALSE)='Matriz Objetivos x Projetos'!$B18,"P",IF(OR(VLOOKUP('Matriz Objetivos x Projetos'!D$10,'Quadro Geral'!$E$9:$H$43,4,FALSE)='Matriz Objetivos x Projetos'!$B18,VLOOKUP('Matriz Objetivos x Projetos'!D$10,'Quadro Geral'!$E$9:$H$29,5,FALSE)='Matriz Objetivos x Projetos'!$B18),"S","")),"")</f>
        <v/>
      </c>
      <c r="E18" s="20" t="str">
        <f>IFERROR(IF(VLOOKUP(E$10,'Quadro Geral'!$E$9:$H$43,3,FALSE)='Matriz Objetivos x Projetos'!$B18,"P",IF(OR(VLOOKUP('Matriz Objetivos x Projetos'!E$10,'Quadro Geral'!$E$9:$H$43,4,FALSE)='Matriz Objetivos x Projetos'!$B18,VLOOKUP('Matriz Objetivos x Projetos'!E$10,'Quadro Geral'!$E$9:$H$29,5,FALSE)='Matriz Objetivos x Projetos'!$B18),"S","")),"")</f>
        <v/>
      </c>
      <c r="F18" s="20" t="str">
        <f>IFERROR(IF(VLOOKUP(F$10,'Quadro Geral'!$E$9:$H$43,3,FALSE)='Matriz Objetivos x Projetos'!$B18,"P",IF(OR(VLOOKUP('Matriz Objetivos x Projetos'!F$10,'Quadro Geral'!$E$9:$H$43,4,FALSE)='Matriz Objetivos x Projetos'!$B18,VLOOKUP('Matriz Objetivos x Projetos'!F$10,'Quadro Geral'!$E$9:$H$29,5,FALSE)='Matriz Objetivos x Projetos'!$B18),"S","")),"")</f>
        <v/>
      </c>
      <c r="G18" s="20" t="str">
        <f>IFERROR(IF(VLOOKUP(G$10,'Quadro Geral'!$E$9:$H$43,3,FALSE)='Matriz Objetivos x Projetos'!$B18,"P",IF(OR(VLOOKUP('Matriz Objetivos x Projetos'!G$10,'Quadro Geral'!$E$9:$H$43,4,FALSE)='Matriz Objetivos x Projetos'!$B18,VLOOKUP('Matriz Objetivos x Projetos'!G$10,'Quadro Geral'!$E$9:$H$29,5,FALSE)='Matriz Objetivos x Projetos'!$B18),"S","")),"")</f>
        <v/>
      </c>
      <c r="H18" s="20" t="str">
        <f>IFERROR(IF(VLOOKUP(H$10,'Quadro Geral'!$E$9:$H$43,3,FALSE)='Matriz Objetivos x Projetos'!$B18,"P",IF(OR(VLOOKUP('Matriz Objetivos x Projetos'!H$10,'Quadro Geral'!$E$9:$H$43,4,FALSE)='Matriz Objetivos x Projetos'!$B18,VLOOKUP('Matriz Objetivos x Projetos'!H$10,'Quadro Geral'!$E$9:$H$29,5,FALSE)='Matriz Objetivos x Projetos'!$B18),"S","")),"")</f>
        <v/>
      </c>
      <c r="I18" s="20" t="str">
        <f>IFERROR(IF(VLOOKUP(I$10,'Quadro Geral'!$E$9:$H$43,3,FALSE)='Matriz Objetivos x Projetos'!$B18,"P",IF(OR(VLOOKUP('Matriz Objetivos x Projetos'!I$10,'Quadro Geral'!$E$9:$H$43,4,FALSE)='Matriz Objetivos x Projetos'!$B18,VLOOKUP('Matriz Objetivos x Projetos'!I$10,'Quadro Geral'!$E$9:$H$29,5,FALSE)='Matriz Objetivos x Projetos'!$B18),"S","")),"")</f>
        <v>P</v>
      </c>
      <c r="J18" s="20" t="str">
        <f>IFERROR(IF(VLOOKUP(J$10,'Quadro Geral'!$E$9:$H$43,3,FALSE)='Matriz Objetivos x Projetos'!$B18,"P",IF(OR(VLOOKUP('Matriz Objetivos x Projetos'!J$10,'Quadro Geral'!$E$9:$H$43,4,FALSE)='Matriz Objetivos x Projetos'!$B18,VLOOKUP('Matriz Objetivos x Projetos'!J$10,'Quadro Geral'!$E$9:$H$29,5,FALSE)='Matriz Objetivos x Projetos'!$B18),"S","")),"")</f>
        <v/>
      </c>
      <c r="K18" s="20" t="str">
        <f>IFERROR(IF(VLOOKUP(K$10,'Quadro Geral'!$E$9:$H$43,3,FALSE)='Matriz Objetivos x Projetos'!$B18,"P",IF(OR(VLOOKUP('Matriz Objetivos x Projetos'!K$10,'Quadro Geral'!$E$9:$H$43,4,FALSE)='Matriz Objetivos x Projetos'!$B18,VLOOKUP('Matriz Objetivos x Projetos'!K$10,'Quadro Geral'!$E$9:$H$29,5,FALSE)='Matriz Objetivos x Projetos'!$B18),"S","")),"")</f>
        <v/>
      </c>
      <c r="L18" s="20" t="str">
        <f>IFERROR(IF(VLOOKUP(L$10,'Quadro Geral'!$E$9:$H$43,3,FALSE)='Matriz Objetivos x Projetos'!$B18,"P",IF(OR(VLOOKUP('Matriz Objetivos x Projetos'!L$10,'Quadro Geral'!$E$9:$H$43,4,FALSE)='Matriz Objetivos x Projetos'!$B18,VLOOKUP('Matriz Objetivos x Projetos'!L$10,'Quadro Geral'!$E$9:$H$29,5,FALSE)='Matriz Objetivos x Projetos'!$B18),"S","")),"")</f>
        <v/>
      </c>
      <c r="M18" s="20" t="str">
        <f>IFERROR(IF(VLOOKUP(M$10,'Quadro Geral'!$E$9:$H$43,3,FALSE)='Matriz Objetivos x Projetos'!$B18,"P",IF(OR(VLOOKUP('Matriz Objetivos x Projetos'!M$10,'Quadro Geral'!$E$9:$H$43,4,FALSE)='Matriz Objetivos x Projetos'!$B18,VLOOKUP('Matriz Objetivos x Projetos'!M$10,'Quadro Geral'!$E$9:$H$29,5,FALSE)='Matriz Objetivos x Projetos'!$B18),"S","")),"")</f>
        <v/>
      </c>
      <c r="N18" s="20" t="str">
        <f>IFERROR(IF(VLOOKUP(N$10,'Quadro Geral'!$E$9:$H$43,3,FALSE)='Matriz Objetivos x Projetos'!$B18,"P",IF(OR(VLOOKUP('Matriz Objetivos x Projetos'!N$10,'Quadro Geral'!$E$9:$H$43,4,FALSE)='Matriz Objetivos x Projetos'!$B18,VLOOKUP('Matriz Objetivos x Projetos'!N$10,'Quadro Geral'!$E$9:$H$29,5,FALSE)='Matriz Objetivos x Projetos'!$B18),"S","")),"")</f>
        <v/>
      </c>
      <c r="O18" s="20" t="str">
        <f>IFERROR(IF(VLOOKUP(O$10,'Quadro Geral'!$E$9:$H$43,3,FALSE)='Matriz Objetivos x Projetos'!$B18,"P",IF(OR(VLOOKUP('Matriz Objetivos x Projetos'!O$10,'Quadro Geral'!$E$9:$H$43,4,FALSE)='Matriz Objetivos x Projetos'!$B18,VLOOKUP('Matriz Objetivos x Projetos'!O$10,'Quadro Geral'!$E$9:$H$29,5,FALSE)='Matriz Objetivos x Projetos'!$B18),"S","")),"")</f>
        <v/>
      </c>
      <c r="P18" s="20" t="str">
        <f>IFERROR(IF(VLOOKUP(P$10,'Quadro Geral'!$E$9:$H$43,3,FALSE)='Matriz Objetivos x Projetos'!$B18,"P",IF(OR(VLOOKUP('Matriz Objetivos x Projetos'!P$10,'Quadro Geral'!$E$9:$H$43,4,FALSE)='Matriz Objetivos x Projetos'!$B18,VLOOKUP('Matriz Objetivos x Projetos'!P$10,'Quadro Geral'!$E$9:$H$29,5,FALSE)='Matriz Objetivos x Projetos'!$B18),"S","")),"")</f>
        <v/>
      </c>
      <c r="Q18" s="20" t="str">
        <f>IFERROR(IF(VLOOKUP(Q$10,'Quadro Geral'!$E$9:$H$43,3,FALSE)='Matriz Objetivos x Projetos'!$B18,"P",IF(OR(VLOOKUP('Matriz Objetivos x Projetos'!Q$10,'Quadro Geral'!$E$9:$H$43,4,FALSE)='Matriz Objetivos x Projetos'!$B18,VLOOKUP('Matriz Objetivos x Projetos'!Q$10,'Quadro Geral'!$E$9:$H$29,5,FALSE)='Matriz Objetivos x Projetos'!$B18),"S","")),"")</f>
        <v/>
      </c>
      <c r="R18" s="20" t="str">
        <f>IFERROR(IF(VLOOKUP(R$10,'Quadro Geral'!$E$9:$H$43,3,FALSE)='Matriz Objetivos x Projetos'!$B18,"P",IF(OR(VLOOKUP('Matriz Objetivos x Projetos'!R$10,'Quadro Geral'!$E$9:$H$43,4,FALSE)='Matriz Objetivos x Projetos'!$B18,VLOOKUP('Matriz Objetivos x Projetos'!R$10,'Quadro Geral'!$E$9:$H$29,5,FALSE)='Matriz Objetivos x Projetos'!$B18),"S","")),"")</f>
        <v/>
      </c>
      <c r="S18" s="20" t="str">
        <f>IFERROR(IF(VLOOKUP(S$10,'Quadro Geral'!$E$9:$H$43,3,FALSE)='Matriz Objetivos x Projetos'!$B18,"P",IF(OR(VLOOKUP('Matriz Objetivos x Projetos'!S$10,'Quadro Geral'!$E$9:$H$43,4,FALSE)='Matriz Objetivos x Projetos'!$B18,VLOOKUP('Matriz Objetivos x Projetos'!S$10,'Quadro Geral'!$E$9:$H$29,5,FALSE)='Matriz Objetivos x Projetos'!$B18),"S","")),"")</f>
        <v/>
      </c>
      <c r="T18" s="20" t="str">
        <f>IFERROR(IF(VLOOKUP(T$10,'Quadro Geral'!$E$9:$H$43,3,FALSE)='Matriz Objetivos x Projetos'!$B18,"P",IF(OR(VLOOKUP('Matriz Objetivos x Projetos'!T$10,'Quadro Geral'!$E$9:$H$43,4,FALSE)='Matriz Objetivos x Projetos'!$B18,VLOOKUP('Matriz Objetivos x Projetos'!T$10,'Quadro Geral'!$E$9:$H$29,5,FALSE)='Matriz Objetivos x Projetos'!$B18),"S","")),"")</f>
        <v/>
      </c>
      <c r="U18" s="20" t="str">
        <f>IFERROR(IF(VLOOKUP(U$10,'Quadro Geral'!$E$9:$H$43,3,FALSE)='Matriz Objetivos x Projetos'!$B18,"P",IF(OR(VLOOKUP('Matriz Objetivos x Projetos'!U$10,'Quadro Geral'!$E$9:$H$43,4,FALSE)='Matriz Objetivos x Projetos'!$B18,VLOOKUP('Matriz Objetivos x Projetos'!U$10,'Quadro Geral'!$E$9:$H$29,5,FALSE)='Matriz Objetivos x Projetos'!$B18),"S","")),"")</f>
        <v/>
      </c>
      <c r="V18" s="20" t="str">
        <f>IFERROR(IF(VLOOKUP(V$10,'Quadro Geral'!$E$9:$H$43,3,FALSE)='Matriz Objetivos x Projetos'!$B18,"P",IF(OR(VLOOKUP('Matriz Objetivos x Projetos'!V$10,'Quadro Geral'!$E$9:$H$43,4,FALSE)='Matriz Objetivos x Projetos'!$B18,VLOOKUP('Matriz Objetivos x Projetos'!V$10,'Quadro Geral'!$E$9:$H$29,5,FALSE)='Matriz Objetivos x Projetos'!$B18),"S","")),"")</f>
        <v/>
      </c>
      <c r="W18" s="20" t="str">
        <f>IFERROR(IF(VLOOKUP(W$10,'Quadro Geral'!$E$9:$H$43,3,FALSE)='Matriz Objetivos x Projetos'!$B18,"P",IF(OR(VLOOKUP('Matriz Objetivos x Projetos'!W$10,'Quadro Geral'!$E$9:$H$43,4,FALSE)='Matriz Objetivos x Projetos'!$B18,VLOOKUP('Matriz Objetivos x Projetos'!W$10,'Quadro Geral'!$E$9:$H$29,5,FALSE)='Matriz Objetivos x Projetos'!$B18),"S","")),"")</f>
        <v/>
      </c>
      <c r="X18" s="17">
        <f t="shared" si="0"/>
        <v>0</v>
      </c>
      <c r="Y18" s="16" t="str">
        <f t="shared" si="1"/>
        <v>Processos Internos</v>
      </c>
    </row>
    <row r="19" spans="1:25" s="18" customFormat="1" ht="63" customHeight="1" x14ac:dyDescent="0.2">
      <c r="A19" s="379"/>
      <c r="B19" s="175" t="s">
        <v>63</v>
      </c>
      <c r="C19" s="20" t="str">
        <f>IFERROR(IF(VLOOKUP(C$10,'Quadro Geral'!$E$9:$H$43,3,FALSE)='Matriz Objetivos x Projetos'!$B19,"P",IF(OR(VLOOKUP('Matriz Objetivos x Projetos'!C$10,'Quadro Geral'!$E$9:$H$43,4,FALSE)='Matriz Objetivos x Projetos'!$B19,VLOOKUP('Matriz Objetivos x Projetos'!C$10,'Quadro Geral'!$E$9:$H$29,5,FALSE)='Matriz Objetivos x Projetos'!$B19),"S","")),"")</f>
        <v/>
      </c>
      <c r="D19" s="20" t="str">
        <f>IFERROR(IF(VLOOKUP(D$10,'Quadro Geral'!$E$9:$H$43,3,FALSE)='Matriz Objetivos x Projetos'!$B19,"P",IF(OR(VLOOKUP('Matriz Objetivos x Projetos'!D$10,'Quadro Geral'!$E$9:$H$43,4,FALSE)='Matriz Objetivos x Projetos'!$B19,VLOOKUP('Matriz Objetivos x Projetos'!D$10,'Quadro Geral'!$E$9:$H$29,5,FALSE)='Matriz Objetivos x Projetos'!$B19),"S","")),"")</f>
        <v/>
      </c>
      <c r="E19" s="20" t="str">
        <f>IFERROR(IF(VLOOKUP(E$10,'Quadro Geral'!$E$9:$H$43,3,FALSE)='Matriz Objetivos x Projetos'!$B19,"P",IF(OR(VLOOKUP('Matriz Objetivos x Projetos'!E$10,'Quadro Geral'!$E$9:$H$43,4,FALSE)='Matriz Objetivos x Projetos'!$B19,VLOOKUP('Matriz Objetivos x Projetos'!E$10,'Quadro Geral'!$E$9:$H$29,5,FALSE)='Matriz Objetivos x Projetos'!$B19),"S","")),"")</f>
        <v/>
      </c>
      <c r="F19" s="20" t="str">
        <f>IFERROR(IF(VLOOKUP(F$10,'Quadro Geral'!$E$9:$H$43,3,FALSE)='Matriz Objetivos x Projetos'!$B19,"P",IF(OR(VLOOKUP('Matriz Objetivos x Projetos'!F$10,'Quadro Geral'!$E$9:$H$43,4,FALSE)='Matriz Objetivos x Projetos'!$B19,VLOOKUP('Matriz Objetivos x Projetos'!F$10,'Quadro Geral'!$E$9:$H$29,5,FALSE)='Matriz Objetivos x Projetos'!$B19),"S","")),"")</f>
        <v/>
      </c>
      <c r="G19" s="20" t="str">
        <f>IFERROR(IF(VLOOKUP(G$10,'Quadro Geral'!$E$9:$H$43,3,FALSE)='Matriz Objetivos x Projetos'!$B19,"P",IF(OR(VLOOKUP('Matriz Objetivos x Projetos'!G$10,'Quadro Geral'!$E$9:$H$43,4,FALSE)='Matriz Objetivos x Projetos'!$B19,VLOOKUP('Matriz Objetivos x Projetos'!G$10,'Quadro Geral'!$E$9:$H$29,5,FALSE)='Matriz Objetivos x Projetos'!$B19),"S","")),"")</f>
        <v/>
      </c>
      <c r="H19" s="20" t="str">
        <f>IFERROR(IF(VLOOKUP(H$10,'Quadro Geral'!$E$9:$H$43,3,FALSE)='Matriz Objetivos x Projetos'!$B19,"P",IF(OR(VLOOKUP('Matriz Objetivos x Projetos'!H$10,'Quadro Geral'!$E$9:$H$43,4,FALSE)='Matriz Objetivos x Projetos'!$B19,VLOOKUP('Matriz Objetivos x Projetos'!H$10,'Quadro Geral'!$E$9:$H$29,5,FALSE)='Matriz Objetivos x Projetos'!$B19),"S","")),"")</f>
        <v/>
      </c>
      <c r="I19" s="20" t="str">
        <f>IFERROR(IF(VLOOKUP(I$10,'Quadro Geral'!$E$9:$H$43,3,FALSE)='Matriz Objetivos x Projetos'!$B19,"P",IF(OR(VLOOKUP('Matriz Objetivos x Projetos'!I$10,'Quadro Geral'!$E$9:$H$43,4,FALSE)='Matriz Objetivos x Projetos'!$B19,VLOOKUP('Matriz Objetivos x Projetos'!I$10,'Quadro Geral'!$E$9:$H$29,5,FALSE)='Matriz Objetivos x Projetos'!$B19),"S","")),"")</f>
        <v/>
      </c>
      <c r="J19" s="20" t="str">
        <f>IFERROR(IF(VLOOKUP(J$10,'Quadro Geral'!$E$9:$H$43,3,FALSE)='Matriz Objetivos x Projetos'!$B19,"P",IF(OR(VLOOKUP('Matriz Objetivos x Projetos'!J$10,'Quadro Geral'!$E$9:$H$43,4,FALSE)='Matriz Objetivos x Projetos'!$B19,VLOOKUP('Matriz Objetivos x Projetos'!J$10,'Quadro Geral'!$E$9:$H$29,5,FALSE)='Matriz Objetivos x Projetos'!$B19),"S","")),"")</f>
        <v/>
      </c>
      <c r="K19" s="20" t="str">
        <f>IFERROR(IF(VLOOKUP(K$10,'Quadro Geral'!$E$9:$H$43,3,FALSE)='Matriz Objetivos x Projetos'!$B19,"P",IF(OR(VLOOKUP('Matriz Objetivos x Projetos'!K$10,'Quadro Geral'!$E$9:$H$43,4,FALSE)='Matriz Objetivos x Projetos'!$B19,VLOOKUP('Matriz Objetivos x Projetos'!K$10,'Quadro Geral'!$E$9:$H$29,5,FALSE)='Matriz Objetivos x Projetos'!$B19),"S","")),"")</f>
        <v/>
      </c>
      <c r="L19" s="20" t="str">
        <f>IFERROR(IF(VLOOKUP(L$10,'Quadro Geral'!$E$9:$H$43,3,FALSE)='Matriz Objetivos x Projetos'!$B19,"P",IF(OR(VLOOKUP('Matriz Objetivos x Projetos'!L$10,'Quadro Geral'!$E$9:$H$43,4,FALSE)='Matriz Objetivos x Projetos'!$B19,VLOOKUP('Matriz Objetivos x Projetos'!L$10,'Quadro Geral'!$E$9:$H$29,5,FALSE)='Matriz Objetivos x Projetos'!$B19),"S","")),"")</f>
        <v/>
      </c>
      <c r="M19" s="20" t="str">
        <f>IFERROR(IF(VLOOKUP(M$10,'Quadro Geral'!$E$9:$H$43,3,FALSE)='Matriz Objetivos x Projetos'!$B19,"P",IF(OR(VLOOKUP('Matriz Objetivos x Projetos'!M$10,'Quadro Geral'!$E$9:$H$43,4,FALSE)='Matriz Objetivos x Projetos'!$B19,VLOOKUP('Matriz Objetivos x Projetos'!M$10,'Quadro Geral'!$E$9:$H$29,5,FALSE)='Matriz Objetivos x Projetos'!$B19),"S","")),"")</f>
        <v/>
      </c>
      <c r="N19" s="20" t="str">
        <f>IFERROR(IF(VLOOKUP(N$10,'Quadro Geral'!$E$9:$H$43,3,FALSE)='Matriz Objetivos x Projetos'!$B19,"P",IF(OR(VLOOKUP('Matriz Objetivos x Projetos'!N$10,'Quadro Geral'!$E$9:$H$43,4,FALSE)='Matriz Objetivos x Projetos'!$B19,VLOOKUP('Matriz Objetivos x Projetos'!N$10,'Quadro Geral'!$E$9:$H$29,5,FALSE)='Matriz Objetivos x Projetos'!$B19),"S","")),"")</f>
        <v/>
      </c>
      <c r="O19" s="20" t="str">
        <f>IFERROR(IF(VLOOKUP(O$10,'Quadro Geral'!$E$9:$H$43,3,FALSE)='Matriz Objetivos x Projetos'!$B19,"P",IF(OR(VLOOKUP('Matriz Objetivos x Projetos'!O$10,'Quadro Geral'!$E$9:$H$43,4,FALSE)='Matriz Objetivos x Projetos'!$B19,VLOOKUP('Matriz Objetivos x Projetos'!O$10,'Quadro Geral'!$E$9:$H$29,5,FALSE)='Matriz Objetivos x Projetos'!$B19),"S","")),"")</f>
        <v/>
      </c>
      <c r="P19" s="20" t="str">
        <f>IFERROR(IF(VLOOKUP(P$10,'Quadro Geral'!$E$9:$H$43,3,FALSE)='Matriz Objetivos x Projetos'!$B19,"P",IF(OR(VLOOKUP('Matriz Objetivos x Projetos'!P$10,'Quadro Geral'!$E$9:$H$43,4,FALSE)='Matriz Objetivos x Projetos'!$B19,VLOOKUP('Matriz Objetivos x Projetos'!P$10,'Quadro Geral'!$E$9:$H$29,5,FALSE)='Matriz Objetivos x Projetos'!$B19),"S","")),"")</f>
        <v/>
      </c>
      <c r="Q19" s="20" t="str">
        <f>IFERROR(IF(VLOOKUP(Q$10,'Quadro Geral'!$E$9:$H$43,3,FALSE)='Matriz Objetivos x Projetos'!$B19,"P",IF(OR(VLOOKUP('Matriz Objetivos x Projetos'!Q$10,'Quadro Geral'!$E$9:$H$43,4,FALSE)='Matriz Objetivos x Projetos'!$B19,VLOOKUP('Matriz Objetivos x Projetos'!Q$10,'Quadro Geral'!$E$9:$H$29,5,FALSE)='Matriz Objetivos x Projetos'!$B19),"S","")),"")</f>
        <v/>
      </c>
      <c r="R19" s="20" t="str">
        <f>IFERROR(IF(VLOOKUP(R$10,'Quadro Geral'!$E$9:$H$43,3,FALSE)='Matriz Objetivos x Projetos'!$B19,"P",IF(OR(VLOOKUP('Matriz Objetivos x Projetos'!R$10,'Quadro Geral'!$E$9:$H$43,4,FALSE)='Matriz Objetivos x Projetos'!$B19,VLOOKUP('Matriz Objetivos x Projetos'!R$10,'Quadro Geral'!$E$9:$H$29,5,FALSE)='Matriz Objetivos x Projetos'!$B19),"S","")),"")</f>
        <v/>
      </c>
      <c r="S19" s="20" t="str">
        <f>IFERROR(IF(VLOOKUP(S$10,'Quadro Geral'!$E$9:$H$43,3,FALSE)='Matriz Objetivos x Projetos'!$B19,"P",IF(OR(VLOOKUP('Matriz Objetivos x Projetos'!S$10,'Quadro Geral'!$E$9:$H$43,4,FALSE)='Matriz Objetivos x Projetos'!$B19,VLOOKUP('Matriz Objetivos x Projetos'!S$10,'Quadro Geral'!$E$9:$H$29,5,FALSE)='Matriz Objetivos x Projetos'!$B19),"S","")),"")</f>
        <v/>
      </c>
      <c r="T19" s="20" t="str">
        <f>IFERROR(IF(VLOOKUP(T$10,'Quadro Geral'!$E$9:$H$43,3,FALSE)='Matriz Objetivos x Projetos'!$B19,"P",IF(OR(VLOOKUP('Matriz Objetivos x Projetos'!T$10,'Quadro Geral'!$E$9:$H$43,4,FALSE)='Matriz Objetivos x Projetos'!$B19,VLOOKUP('Matriz Objetivos x Projetos'!T$10,'Quadro Geral'!$E$9:$H$29,5,FALSE)='Matriz Objetivos x Projetos'!$B19),"S","")),"")</f>
        <v/>
      </c>
      <c r="U19" s="20" t="str">
        <f>IFERROR(IF(VLOOKUP(U$10,'Quadro Geral'!$E$9:$H$43,3,FALSE)='Matriz Objetivos x Projetos'!$B19,"P",IF(OR(VLOOKUP('Matriz Objetivos x Projetos'!U$10,'Quadro Geral'!$E$9:$H$43,4,FALSE)='Matriz Objetivos x Projetos'!$B19,VLOOKUP('Matriz Objetivos x Projetos'!U$10,'Quadro Geral'!$E$9:$H$29,5,FALSE)='Matriz Objetivos x Projetos'!$B19),"S","")),"")</f>
        <v>P</v>
      </c>
      <c r="V19" s="20" t="str">
        <f>IFERROR(IF(VLOOKUP(V$10,'Quadro Geral'!$E$9:$H$43,3,FALSE)='Matriz Objetivos x Projetos'!$B19,"P",IF(OR(VLOOKUP('Matriz Objetivos x Projetos'!V$10,'Quadro Geral'!$E$9:$H$43,4,FALSE)='Matriz Objetivos x Projetos'!$B19,VLOOKUP('Matriz Objetivos x Projetos'!V$10,'Quadro Geral'!$E$9:$H$29,5,FALSE)='Matriz Objetivos x Projetos'!$B19),"S","")),"")</f>
        <v/>
      </c>
      <c r="W19" s="20" t="str">
        <f>IFERROR(IF(VLOOKUP(W$10,'Quadro Geral'!$E$9:$H$43,3,FALSE)='Matriz Objetivos x Projetos'!$B19,"P",IF(OR(VLOOKUP('Matriz Objetivos x Projetos'!W$10,'Quadro Geral'!$E$9:$H$43,4,FALSE)='Matriz Objetivos x Projetos'!$B19,VLOOKUP('Matriz Objetivos x Projetos'!W$10,'Quadro Geral'!$E$9:$H$29,5,FALSE)='Matriz Objetivos x Projetos'!$B19),"S","")),"")</f>
        <v/>
      </c>
      <c r="X19" s="17">
        <f t="shared" si="0"/>
        <v>0</v>
      </c>
      <c r="Y19" s="16" t="str">
        <f t="shared" si="1"/>
        <v>Processos Internos</v>
      </c>
    </row>
    <row r="20" spans="1:25" ht="63" customHeight="1" x14ac:dyDescent="0.2">
      <c r="A20" s="379"/>
      <c r="B20" s="175" t="s">
        <v>64</v>
      </c>
      <c r="C20" s="20" t="str">
        <f>IFERROR(IF(VLOOKUP(C$10,'Quadro Geral'!$E$9:$H$43,3,FALSE)='Matriz Objetivos x Projetos'!$B20,"P",IF(OR(VLOOKUP('Matriz Objetivos x Projetos'!C$10,'Quadro Geral'!$E$9:$H$43,4,FALSE)='Matriz Objetivos x Projetos'!$B20,VLOOKUP('Matriz Objetivos x Projetos'!C$10,'Quadro Geral'!$E$9:$H$29,5,FALSE)='Matriz Objetivos x Projetos'!$B20),"S","")),"")</f>
        <v/>
      </c>
      <c r="D20" s="20" t="str">
        <f>IFERROR(IF(VLOOKUP(D$10,'Quadro Geral'!$E$9:$H$43,3,FALSE)='Matriz Objetivos x Projetos'!$B20,"P",IF(OR(VLOOKUP('Matriz Objetivos x Projetos'!D$10,'Quadro Geral'!$E$9:$H$43,4,FALSE)='Matriz Objetivos x Projetos'!$B20,VLOOKUP('Matriz Objetivos x Projetos'!D$10,'Quadro Geral'!$E$9:$H$29,5,FALSE)='Matriz Objetivos x Projetos'!$B20),"S","")),"")</f>
        <v/>
      </c>
      <c r="E20" s="20" t="str">
        <f>IFERROR(IF(VLOOKUP(E$10,'Quadro Geral'!$E$9:$H$43,3,FALSE)='Matriz Objetivos x Projetos'!$B20,"P",IF(OR(VLOOKUP('Matriz Objetivos x Projetos'!E$10,'Quadro Geral'!$E$9:$H$43,4,FALSE)='Matriz Objetivos x Projetos'!$B20,VLOOKUP('Matriz Objetivos x Projetos'!E$10,'Quadro Geral'!$E$9:$H$29,5,FALSE)='Matriz Objetivos x Projetos'!$B20),"S","")),"")</f>
        <v/>
      </c>
      <c r="F20" s="20" t="str">
        <f>IFERROR(IF(VLOOKUP(F$10,'Quadro Geral'!$E$9:$H$43,3,FALSE)='Matriz Objetivos x Projetos'!$B20,"P",IF(OR(VLOOKUP('Matriz Objetivos x Projetos'!F$10,'Quadro Geral'!$E$9:$H$43,4,FALSE)='Matriz Objetivos x Projetos'!$B20,VLOOKUP('Matriz Objetivos x Projetos'!F$10,'Quadro Geral'!$E$9:$H$29,5,FALSE)='Matriz Objetivos x Projetos'!$B20),"S","")),"")</f>
        <v/>
      </c>
      <c r="G20" s="20" t="str">
        <f>IFERROR(IF(VLOOKUP(G$10,'Quadro Geral'!$E$9:$H$43,3,FALSE)='Matriz Objetivos x Projetos'!$B20,"P",IF(OR(VLOOKUP('Matriz Objetivos x Projetos'!G$10,'Quadro Geral'!$E$9:$H$43,4,FALSE)='Matriz Objetivos x Projetos'!$B20,VLOOKUP('Matriz Objetivos x Projetos'!G$10,'Quadro Geral'!$E$9:$H$29,5,FALSE)='Matriz Objetivos x Projetos'!$B20),"S","")),"")</f>
        <v>P</v>
      </c>
      <c r="H20" s="20" t="str">
        <f>IFERROR(IF(VLOOKUP(H$10,'Quadro Geral'!$E$9:$H$43,3,FALSE)='Matriz Objetivos x Projetos'!$B20,"P",IF(OR(VLOOKUP('Matriz Objetivos x Projetos'!H$10,'Quadro Geral'!$E$9:$H$43,4,FALSE)='Matriz Objetivos x Projetos'!$B20,VLOOKUP('Matriz Objetivos x Projetos'!H$10,'Quadro Geral'!$E$9:$H$29,5,FALSE)='Matriz Objetivos x Projetos'!$B20),"S","")),"")</f>
        <v/>
      </c>
      <c r="I20" s="20" t="str">
        <f>IFERROR(IF(VLOOKUP(I$10,'Quadro Geral'!$E$9:$H$43,3,FALSE)='Matriz Objetivos x Projetos'!$B20,"P",IF(OR(VLOOKUP('Matriz Objetivos x Projetos'!I$10,'Quadro Geral'!$E$9:$H$43,4,FALSE)='Matriz Objetivos x Projetos'!$B20,VLOOKUP('Matriz Objetivos x Projetos'!I$10,'Quadro Geral'!$E$9:$H$29,5,FALSE)='Matriz Objetivos x Projetos'!$B20),"S","")),"")</f>
        <v/>
      </c>
      <c r="J20" s="20" t="str">
        <f>IFERROR(IF(VLOOKUP(J$10,'Quadro Geral'!$E$9:$H$43,3,FALSE)='Matriz Objetivos x Projetos'!$B20,"P",IF(OR(VLOOKUP('Matriz Objetivos x Projetos'!J$10,'Quadro Geral'!$E$9:$H$43,4,FALSE)='Matriz Objetivos x Projetos'!$B20,VLOOKUP('Matriz Objetivos x Projetos'!J$10,'Quadro Geral'!$E$9:$H$29,5,FALSE)='Matriz Objetivos x Projetos'!$B20),"S","")),"")</f>
        <v/>
      </c>
      <c r="K20" s="20" t="str">
        <f>IFERROR(IF(VLOOKUP(K$10,'Quadro Geral'!$E$9:$H$43,3,FALSE)='Matriz Objetivos x Projetos'!$B20,"P",IF(OR(VLOOKUP('Matriz Objetivos x Projetos'!K$10,'Quadro Geral'!$E$9:$H$43,4,FALSE)='Matriz Objetivos x Projetos'!$B20,VLOOKUP('Matriz Objetivos x Projetos'!K$10,'Quadro Geral'!$E$9:$H$29,5,FALSE)='Matriz Objetivos x Projetos'!$B20),"S","")),"")</f>
        <v/>
      </c>
      <c r="L20" s="20" t="str">
        <f>IFERROR(IF(VLOOKUP(L$10,'Quadro Geral'!$E$9:$H$43,3,FALSE)='Matriz Objetivos x Projetos'!$B20,"P",IF(OR(VLOOKUP('Matriz Objetivos x Projetos'!L$10,'Quadro Geral'!$E$9:$H$43,4,FALSE)='Matriz Objetivos x Projetos'!$B20,VLOOKUP('Matriz Objetivos x Projetos'!L$10,'Quadro Geral'!$E$9:$H$29,5,FALSE)='Matriz Objetivos x Projetos'!$B20),"S","")),"")</f>
        <v>P</v>
      </c>
      <c r="M20" s="20" t="str">
        <f>IFERROR(IF(VLOOKUP(M$10,'Quadro Geral'!$E$9:$H$43,3,FALSE)='Matriz Objetivos x Projetos'!$B20,"P",IF(OR(VLOOKUP('Matriz Objetivos x Projetos'!M$10,'Quadro Geral'!$E$9:$H$43,4,FALSE)='Matriz Objetivos x Projetos'!$B20,VLOOKUP('Matriz Objetivos x Projetos'!M$10,'Quadro Geral'!$E$9:$H$29,5,FALSE)='Matriz Objetivos x Projetos'!$B20),"S","")),"")</f>
        <v/>
      </c>
      <c r="N20" s="20" t="str">
        <f>IFERROR(IF(VLOOKUP(N$10,'Quadro Geral'!$E$9:$H$43,3,FALSE)='Matriz Objetivos x Projetos'!$B20,"P",IF(OR(VLOOKUP('Matriz Objetivos x Projetos'!N$10,'Quadro Geral'!$E$9:$H$43,4,FALSE)='Matriz Objetivos x Projetos'!$B20,VLOOKUP('Matriz Objetivos x Projetos'!N$10,'Quadro Geral'!$E$9:$H$29,5,FALSE)='Matriz Objetivos x Projetos'!$B20),"S","")),"")</f>
        <v/>
      </c>
      <c r="O20" s="20" t="str">
        <f>IFERROR(IF(VLOOKUP(O$10,'Quadro Geral'!$E$9:$H$43,3,FALSE)='Matriz Objetivos x Projetos'!$B20,"P",IF(OR(VLOOKUP('Matriz Objetivos x Projetos'!O$10,'Quadro Geral'!$E$9:$H$43,4,FALSE)='Matriz Objetivos x Projetos'!$B20,VLOOKUP('Matriz Objetivos x Projetos'!O$10,'Quadro Geral'!$E$9:$H$29,5,FALSE)='Matriz Objetivos x Projetos'!$B20),"S","")),"")</f>
        <v/>
      </c>
      <c r="P20" s="20" t="str">
        <f>IFERROR(IF(VLOOKUP(P$10,'Quadro Geral'!$E$9:$H$43,3,FALSE)='Matriz Objetivos x Projetos'!$B20,"P",IF(OR(VLOOKUP('Matriz Objetivos x Projetos'!P$10,'Quadro Geral'!$E$9:$H$43,4,FALSE)='Matriz Objetivos x Projetos'!$B20,VLOOKUP('Matriz Objetivos x Projetos'!P$10,'Quadro Geral'!$E$9:$H$29,5,FALSE)='Matriz Objetivos x Projetos'!$B20),"S","")),"")</f>
        <v/>
      </c>
      <c r="Q20" s="20" t="str">
        <f>IFERROR(IF(VLOOKUP(Q$10,'Quadro Geral'!$E$9:$H$43,3,FALSE)='Matriz Objetivos x Projetos'!$B20,"P",IF(OR(VLOOKUP('Matriz Objetivos x Projetos'!Q$10,'Quadro Geral'!$E$9:$H$43,4,FALSE)='Matriz Objetivos x Projetos'!$B20,VLOOKUP('Matriz Objetivos x Projetos'!Q$10,'Quadro Geral'!$E$9:$H$29,5,FALSE)='Matriz Objetivos x Projetos'!$B20),"S","")),"")</f>
        <v/>
      </c>
      <c r="R20" s="20" t="str">
        <f>IFERROR(IF(VLOOKUP(R$10,'Quadro Geral'!$E$9:$H$43,3,FALSE)='Matriz Objetivos x Projetos'!$B20,"P",IF(OR(VLOOKUP('Matriz Objetivos x Projetos'!R$10,'Quadro Geral'!$E$9:$H$43,4,FALSE)='Matriz Objetivos x Projetos'!$B20,VLOOKUP('Matriz Objetivos x Projetos'!R$10,'Quadro Geral'!$E$9:$H$29,5,FALSE)='Matriz Objetivos x Projetos'!$B20),"S","")),"")</f>
        <v>P</v>
      </c>
      <c r="S20" s="20" t="str">
        <f>IFERROR(IF(VLOOKUP(S$10,'Quadro Geral'!$E$9:$H$43,3,FALSE)='Matriz Objetivos x Projetos'!$B20,"P",IF(OR(VLOOKUP('Matriz Objetivos x Projetos'!S$10,'Quadro Geral'!$E$9:$H$43,4,FALSE)='Matriz Objetivos x Projetos'!$B20,VLOOKUP('Matriz Objetivos x Projetos'!S$10,'Quadro Geral'!$E$9:$H$29,5,FALSE)='Matriz Objetivos x Projetos'!$B20),"S","")),"")</f>
        <v/>
      </c>
      <c r="T20" s="20" t="str">
        <f>IFERROR(IF(VLOOKUP(T$10,'Quadro Geral'!$E$9:$H$43,3,FALSE)='Matriz Objetivos x Projetos'!$B20,"P",IF(OR(VLOOKUP('Matriz Objetivos x Projetos'!T$10,'Quadro Geral'!$E$9:$H$43,4,FALSE)='Matriz Objetivos x Projetos'!$B20,VLOOKUP('Matriz Objetivos x Projetos'!T$10,'Quadro Geral'!$E$9:$H$29,5,FALSE)='Matriz Objetivos x Projetos'!$B20),"S","")),"")</f>
        <v/>
      </c>
      <c r="U20" s="20" t="str">
        <f>IFERROR(IF(VLOOKUP(U$10,'Quadro Geral'!$E$9:$H$43,3,FALSE)='Matriz Objetivos x Projetos'!$B20,"P",IF(OR(VLOOKUP('Matriz Objetivos x Projetos'!U$10,'Quadro Geral'!$E$9:$H$43,4,FALSE)='Matriz Objetivos x Projetos'!$B20,VLOOKUP('Matriz Objetivos x Projetos'!U$10,'Quadro Geral'!$E$9:$H$29,5,FALSE)='Matriz Objetivos x Projetos'!$B20),"S","")),"")</f>
        <v/>
      </c>
      <c r="V20" s="20" t="str">
        <f>IFERROR(IF(VLOOKUP(V$10,'Quadro Geral'!$E$9:$H$43,3,FALSE)='Matriz Objetivos x Projetos'!$B20,"P",IF(OR(VLOOKUP('Matriz Objetivos x Projetos'!V$10,'Quadro Geral'!$E$9:$H$43,4,FALSE)='Matriz Objetivos x Projetos'!$B20,VLOOKUP('Matriz Objetivos x Projetos'!V$10,'Quadro Geral'!$E$9:$H$29,5,FALSE)='Matriz Objetivos x Projetos'!$B20),"S","")),"")</f>
        <v/>
      </c>
      <c r="W20" s="20" t="str">
        <f>IFERROR(IF(VLOOKUP(W$10,'Quadro Geral'!$E$9:$H$43,3,FALSE)='Matriz Objetivos x Projetos'!$B20,"P",IF(OR(VLOOKUP('Matriz Objetivos x Projetos'!W$10,'Quadro Geral'!$E$9:$H$43,4,FALSE)='Matriz Objetivos x Projetos'!$B20,VLOOKUP('Matriz Objetivos x Projetos'!W$10,'Quadro Geral'!$E$9:$H$29,5,FALSE)='Matriz Objetivos x Projetos'!$B20),"S","")),"")</f>
        <v/>
      </c>
      <c r="X20" s="17">
        <f t="shared" si="0"/>
        <v>0</v>
      </c>
      <c r="Y20" s="16" t="str">
        <f t="shared" si="1"/>
        <v>Processos Internos</v>
      </c>
    </row>
    <row r="21" spans="1:25" ht="63" customHeight="1" x14ac:dyDescent="0.2">
      <c r="A21" s="379"/>
      <c r="B21" s="175" t="s">
        <v>65</v>
      </c>
      <c r="C21" s="20" t="str">
        <f>IFERROR(IF(VLOOKUP(C$10,'Quadro Geral'!$E$9:$H$43,3,FALSE)='Matriz Objetivos x Projetos'!$B21,"P",IF(OR(VLOOKUP('Matriz Objetivos x Projetos'!C$10,'Quadro Geral'!$E$9:$H$43,4,FALSE)='Matriz Objetivos x Projetos'!$B21,VLOOKUP('Matriz Objetivos x Projetos'!C$10,'Quadro Geral'!$E$9:$H$29,5,FALSE)='Matriz Objetivos x Projetos'!$B21),"S","")),"")</f>
        <v/>
      </c>
      <c r="D21" s="20" t="str">
        <f>IFERROR(IF(VLOOKUP(D$10,'Quadro Geral'!$E$9:$H$43,3,FALSE)='Matriz Objetivos x Projetos'!$B21,"P",IF(OR(VLOOKUP('Matriz Objetivos x Projetos'!D$10,'Quadro Geral'!$E$9:$H$43,4,FALSE)='Matriz Objetivos x Projetos'!$B21,VLOOKUP('Matriz Objetivos x Projetos'!D$10,'Quadro Geral'!$E$9:$H$29,5,FALSE)='Matriz Objetivos x Projetos'!$B21),"S","")),"")</f>
        <v/>
      </c>
      <c r="E21" s="20" t="str">
        <f>IFERROR(IF(VLOOKUP(E$10,'Quadro Geral'!$E$9:$H$43,3,FALSE)='Matriz Objetivos x Projetos'!$B21,"P",IF(OR(VLOOKUP('Matriz Objetivos x Projetos'!E$10,'Quadro Geral'!$E$9:$H$43,4,FALSE)='Matriz Objetivos x Projetos'!$B21,VLOOKUP('Matriz Objetivos x Projetos'!E$10,'Quadro Geral'!$E$9:$H$29,5,FALSE)='Matriz Objetivos x Projetos'!$B21),"S","")),"")</f>
        <v/>
      </c>
      <c r="F21" s="20" t="str">
        <f>IFERROR(IF(VLOOKUP(F$10,'Quadro Geral'!$E$9:$H$43,3,FALSE)='Matriz Objetivos x Projetos'!$B21,"P",IF(OR(VLOOKUP('Matriz Objetivos x Projetos'!F$10,'Quadro Geral'!$E$9:$H$43,4,FALSE)='Matriz Objetivos x Projetos'!$B21,VLOOKUP('Matriz Objetivos x Projetos'!F$10,'Quadro Geral'!$E$9:$H$29,5,FALSE)='Matriz Objetivos x Projetos'!$B21),"S","")),"")</f>
        <v/>
      </c>
      <c r="G21" s="20" t="str">
        <f>IFERROR(IF(VLOOKUP(G$10,'Quadro Geral'!$E$9:$H$43,3,FALSE)='Matriz Objetivos x Projetos'!$B21,"P",IF(OR(VLOOKUP('Matriz Objetivos x Projetos'!G$10,'Quadro Geral'!$E$9:$H$43,4,FALSE)='Matriz Objetivos x Projetos'!$B21,VLOOKUP('Matriz Objetivos x Projetos'!G$10,'Quadro Geral'!$E$9:$H$29,5,FALSE)='Matriz Objetivos x Projetos'!$B21),"S","")),"")</f>
        <v/>
      </c>
      <c r="H21" s="20" t="str">
        <f>IFERROR(IF(VLOOKUP(H$10,'Quadro Geral'!$E$9:$H$43,3,FALSE)='Matriz Objetivos x Projetos'!$B21,"P",IF(OR(VLOOKUP('Matriz Objetivos x Projetos'!H$10,'Quadro Geral'!$E$9:$H$43,4,FALSE)='Matriz Objetivos x Projetos'!$B21,VLOOKUP('Matriz Objetivos x Projetos'!H$10,'Quadro Geral'!$E$9:$H$29,5,FALSE)='Matriz Objetivos x Projetos'!$B21),"S","")),"")</f>
        <v>P</v>
      </c>
      <c r="I21" s="20" t="str">
        <f>IFERROR(IF(VLOOKUP(I$10,'Quadro Geral'!$E$9:$H$43,3,FALSE)='Matriz Objetivos x Projetos'!$B21,"P",IF(OR(VLOOKUP('Matriz Objetivos x Projetos'!I$10,'Quadro Geral'!$E$9:$H$43,4,FALSE)='Matriz Objetivos x Projetos'!$B21,VLOOKUP('Matriz Objetivos x Projetos'!I$10,'Quadro Geral'!$E$9:$H$29,5,FALSE)='Matriz Objetivos x Projetos'!$B21),"S","")),"")</f>
        <v/>
      </c>
      <c r="J21" s="20" t="str">
        <f>IFERROR(IF(VLOOKUP(J$10,'Quadro Geral'!$E$9:$H$43,3,FALSE)='Matriz Objetivos x Projetos'!$B21,"P",IF(OR(VLOOKUP('Matriz Objetivos x Projetos'!J$10,'Quadro Geral'!$E$9:$H$43,4,FALSE)='Matriz Objetivos x Projetos'!$B21,VLOOKUP('Matriz Objetivos x Projetos'!J$10,'Quadro Geral'!$E$9:$H$29,5,FALSE)='Matriz Objetivos x Projetos'!$B21),"S","")),"")</f>
        <v>P</v>
      </c>
      <c r="K21" s="20" t="str">
        <f>IFERROR(IF(VLOOKUP(K$10,'Quadro Geral'!$E$9:$H$43,3,FALSE)='Matriz Objetivos x Projetos'!$B21,"P",IF(OR(VLOOKUP('Matriz Objetivos x Projetos'!K$10,'Quadro Geral'!$E$9:$H$43,4,FALSE)='Matriz Objetivos x Projetos'!$B21,VLOOKUP('Matriz Objetivos x Projetos'!K$10,'Quadro Geral'!$E$9:$H$29,5,FALSE)='Matriz Objetivos x Projetos'!$B21),"S","")),"")</f>
        <v/>
      </c>
      <c r="L21" s="20" t="str">
        <f>IFERROR(IF(VLOOKUP(L$10,'Quadro Geral'!$E$9:$H$43,3,FALSE)='Matriz Objetivos x Projetos'!$B21,"P",IF(OR(VLOOKUP('Matriz Objetivos x Projetos'!L$10,'Quadro Geral'!$E$9:$H$43,4,FALSE)='Matriz Objetivos x Projetos'!$B21,VLOOKUP('Matriz Objetivos x Projetos'!L$10,'Quadro Geral'!$E$9:$H$29,5,FALSE)='Matriz Objetivos x Projetos'!$B21),"S","")),"")</f>
        <v/>
      </c>
      <c r="M21" s="20" t="str">
        <f>IFERROR(IF(VLOOKUP(M$10,'Quadro Geral'!$E$9:$H$43,3,FALSE)='Matriz Objetivos x Projetos'!$B21,"P",IF(OR(VLOOKUP('Matriz Objetivos x Projetos'!M$10,'Quadro Geral'!$E$9:$H$43,4,FALSE)='Matriz Objetivos x Projetos'!$B21,VLOOKUP('Matriz Objetivos x Projetos'!M$10,'Quadro Geral'!$E$9:$H$29,5,FALSE)='Matriz Objetivos x Projetos'!$B21),"S","")),"")</f>
        <v/>
      </c>
      <c r="N21" s="20" t="str">
        <f>IFERROR(IF(VLOOKUP(N$10,'Quadro Geral'!$E$9:$H$43,3,FALSE)='Matriz Objetivos x Projetos'!$B21,"P",IF(OR(VLOOKUP('Matriz Objetivos x Projetos'!N$10,'Quadro Geral'!$E$9:$H$43,4,FALSE)='Matriz Objetivos x Projetos'!$B21,VLOOKUP('Matriz Objetivos x Projetos'!N$10,'Quadro Geral'!$E$9:$H$29,5,FALSE)='Matriz Objetivos x Projetos'!$B21),"S","")),"")</f>
        <v/>
      </c>
      <c r="O21" s="20" t="str">
        <f>IFERROR(IF(VLOOKUP(O$10,'Quadro Geral'!$E$9:$H$43,3,FALSE)='Matriz Objetivos x Projetos'!$B21,"P",IF(OR(VLOOKUP('Matriz Objetivos x Projetos'!O$10,'Quadro Geral'!$E$9:$H$43,4,FALSE)='Matriz Objetivos x Projetos'!$B21,VLOOKUP('Matriz Objetivos x Projetos'!O$10,'Quadro Geral'!$E$9:$H$29,5,FALSE)='Matriz Objetivos x Projetos'!$B21),"S","")),"")</f>
        <v/>
      </c>
      <c r="P21" s="20" t="str">
        <f>IFERROR(IF(VLOOKUP(P$10,'Quadro Geral'!$E$9:$H$43,3,FALSE)='Matriz Objetivos x Projetos'!$B21,"P",IF(OR(VLOOKUP('Matriz Objetivos x Projetos'!P$10,'Quadro Geral'!$E$9:$H$43,4,FALSE)='Matriz Objetivos x Projetos'!$B21,VLOOKUP('Matriz Objetivos x Projetos'!P$10,'Quadro Geral'!$E$9:$H$29,5,FALSE)='Matriz Objetivos x Projetos'!$B21),"S","")),"")</f>
        <v/>
      </c>
      <c r="Q21" s="20" t="str">
        <f>IFERROR(IF(VLOOKUP(Q$10,'Quadro Geral'!$E$9:$H$43,3,FALSE)='Matriz Objetivos x Projetos'!$B21,"P",IF(OR(VLOOKUP('Matriz Objetivos x Projetos'!Q$10,'Quadro Geral'!$E$9:$H$43,4,FALSE)='Matriz Objetivos x Projetos'!$B21,VLOOKUP('Matriz Objetivos x Projetos'!Q$10,'Quadro Geral'!$E$9:$H$29,5,FALSE)='Matriz Objetivos x Projetos'!$B21),"S","")),"")</f>
        <v/>
      </c>
      <c r="R21" s="20" t="str">
        <f>IFERROR(IF(VLOOKUP(R$10,'Quadro Geral'!$E$9:$H$43,3,FALSE)='Matriz Objetivos x Projetos'!$B21,"P",IF(OR(VLOOKUP('Matriz Objetivos x Projetos'!R$10,'Quadro Geral'!$E$9:$H$43,4,FALSE)='Matriz Objetivos x Projetos'!$B21,VLOOKUP('Matriz Objetivos x Projetos'!R$10,'Quadro Geral'!$E$9:$H$29,5,FALSE)='Matriz Objetivos x Projetos'!$B21),"S","")),"")</f>
        <v/>
      </c>
      <c r="S21" s="20" t="str">
        <f>IFERROR(IF(VLOOKUP(S$10,'Quadro Geral'!$E$9:$H$43,3,FALSE)='Matriz Objetivos x Projetos'!$B21,"P",IF(OR(VLOOKUP('Matriz Objetivos x Projetos'!S$10,'Quadro Geral'!$E$9:$H$43,4,FALSE)='Matriz Objetivos x Projetos'!$B21,VLOOKUP('Matriz Objetivos x Projetos'!S$10,'Quadro Geral'!$E$9:$H$29,5,FALSE)='Matriz Objetivos x Projetos'!$B21),"S","")),"")</f>
        <v/>
      </c>
      <c r="T21" s="20" t="str">
        <f>IFERROR(IF(VLOOKUP(T$10,'Quadro Geral'!$E$9:$H$43,3,FALSE)='Matriz Objetivos x Projetos'!$B21,"P",IF(OR(VLOOKUP('Matriz Objetivos x Projetos'!T$10,'Quadro Geral'!$E$9:$H$43,4,FALSE)='Matriz Objetivos x Projetos'!$B21,VLOOKUP('Matriz Objetivos x Projetos'!T$10,'Quadro Geral'!$E$9:$H$29,5,FALSE)='Matriz Objetivos x Projetos'!$B21),"S","")),"")</f>
        <v/>
      </c>
      <c r="U21" s="20" t="str">
        <f>IFERROR(IF(VLOOKUP(U$10,'Quadro Geral'!$E$9:$H$43,3,FALSE)='Matriz Objetivos x Projetos'!$B21,"P",IF(OR(VLOOKUP('Matriz Objetivos x Projetos'!U$10,'Quadro Geral'!$E$9:$H$43,4,FALSE)='Matriz Objetivos x Projetos'!$B21,VLOOKUP('Matriz Objetivos x Projetos'!U$10,'Quadro Geral'!$E$9:$H$29,5,FALSE)='Matriz Objetivos x Projetos'!$B21),"S","")),"")</f>
        <v/>
      </c>
      <c r="V21" s="20" t="str">
        <f>IFERROR(IF(VLOOKUP(V$10,'Quadro Geral'!$E$9:$H$43,3,FALSE)='Matriz Objetivos x Projetos'!$B21,"P",IF(OR(VLOOKUP('Matriz Objetivos x Projetos'!V$10,'Quadro Geral'!$E$9:$H$43,4,FALSE)='Matriz Objetivos x Projetos'!$B21,VLOOKUP('Matriz Objetivos x Projetos'!V$10,'Quadro Geral'!$E$9:$H$29,5,FALSE)='Matriz Objetivos x Projetos'!$B21),"S","")),"")</f>
        <v/>
      </c>
      <c r="W21" s="20" t="str">
        <f>IFERROR(IF(VLOOKUP(W$10,'Quadro Geral'!$E$9:$H$43,3,FALSE)='Matriz Objetivos x Projetos'!$B21,"P",IF(OR(VLOOKUP('Matriz Objetivos x Projetos'!W$10,'Quadro Geral'!$E$9:$H$43,4,FALSE)='Matriz Objetivos x Projetos'!$B21,VLOOKUP('Matriz Objetivos x Projetos'!W$10,'Quadro Geral'!$E$9:$H$29,5,FALSE)='Matriz Objetivos x Projetos'!$B21),"S","")),"")</f>
        <v/>
      </c>
      <c r="X21" s="17">
        <f t="shared" si="0"/>
        <v>0</v>
      </c>
      <c r="Y21" s="16" t="str">
        <f t="shared" si="1"/>
        <v>Processos Internos</v>
      </c>
    </row>
    <row r="22" spans="1:25" ht="63" customHeight="1" x14ac:dyDescent="0.2">
      <c r="A22" s="176" t="s">
        <v>78</v>
      </c>
      <c r="B22" s="175" t="s">
        <v>66</v>
      </c>
      <c r="C22" s="20" t="str">
        <f>IFERROR(IF(VLOOKUP(C$10,'Quadro Geral'!$E$9:$H$43,3,FALSE)='Matriz Objetivos x Projetos'!$B22,"P",IF(OR(VLOOKUP('Matriz Objetivos x Projetos'!C$10,'Quadro Geral'!$E$9:$H$43,4,FALSE)='Matriz Objetivos x Projetos'!$B22,VLOOKUP('Matriz Objetivos x Projetos'!C$10,'Quadro Geral'!$E$9:$H$29,5,FALSE)='Matriz Objetivos x Projetos'!$B22),"S","")),"")</f>
        <v/>
      </c>
      <c r="D22" s="20" t="str">
        <f>IFERROR(IF(VLOOKUP(D$10,'Quadro Geral'!$E$9:$H$43,3,FALSE)='Matriz Objetivos x Projetos'!$B22,"P",IF(OR(VLOOKUP('Matriz Objetivos x Projetos'!D$10,'Quadro Geral'!$E$9:$H$43,4,FALSE)='Matriz Objetivos x Projetos'!$B22,VLOOKUP('Matriz Objetivos x Projetos'!D$10,'Quadro Geral'!$E$9:$H$29,5,FALSE)='Matriz Objetivos x Projetos'!$B22),"S","")),"")</f>
        <v/>
      </c>
      <c r="E22" s="20" t="str">
        <f>IFERROR(IF(VLOOKUP(E$10,'Quadro Geral'!$E$9:$H$43,3,FALSE)='Matriz Objetivos x Projetos'!$B22,"P",IF(OR(VLOOKUP('Matriz Objetivos x Projetos'!E$10,'Quadro Geral'!$E$9:$H$43,4,FALSE)='Matriz Objetivos x Projetos'!$B22,VLOOKUP('Matriz Objetivos x Projetos'!E$10,'Quadro Geral'!$E$9:$H$29,5,FALSE)='Matriz Objetivos x Projetos'!$B22),"S","")),"")</f>
        <v/>
      </c>
      <c r="F22" s="20" t="str">
        <f>IFERROR(IF(VLOOKUP(F$10,'Quadro Geral'!$E$9:$H$43,3,FALSE)='Matriz Objetivos x Projetos'!$B22,"P",IF(OR(VLOOKUP('Matriz Objetivos x Projetos'!F$10,'Quadro Geral'!$E$9:$H$43,4,FALSE)='Matriz Objetivos x Projetos'!$B22,VLOOKUP('Matriz Objetivos x Projetos'!F$10,'Quadro Geral'!$E$9:$H$29,5,FALSE)='Matriz Objetivos x Projetos'!$B22),"S","")),"")</f>
        <v/>
      </c>
      <c r="G22" s="20" t="str">
        <f>IFERROR(IF(VLOOKUP(G$10,'Quadro Geral'!$E$9:$H$43,3,FALSE)='Matriz Objetivos x Projetos'!$B22,"P",IF(OR(VLOOKUP('Matriz Objetivos x Projetos'!G$10,'Quadro Geral'!$E$9:$H$43,4,FALSE)='Matriz Objetivos x Projetos'!$B22,VLOOKUP('Matriz Objetivos x Projetos'!G$10,'Quadro Geral'!$E$9:$H$29,5,FALSE)='Matriz Objetivos x Projetos'!$B22),"S","")),"")</f>
        <v/>
      </c>
      <c r="H22" s="20" t="str">
        <f>IFERROR(IF(VLOOKUP(H$10,'Quadro Geral'!$E$9:$H$43,3,FALSE)='Matriz Objetivos x Projetos'!$B22,"P",IF(OR(VLOOKUP('Matriz Objetivos x Projetos'!H$10,'Quadro Geral'!$E$9:$H$43,4,FALSE)='Matriz Objetivos x Projetos'!$B22,VLOOKUP('Matriz Objetivos x Projetos'!H$10,'Quadro Geral'!$E$9:$H$29,5,FALSE)='Matriz Objetivos x Projetos'!$B22),"S","")),"")</f>
        <v/>
      </c>
      <c r="I22" s="20" t="str">
        <f>IFERROR(IF(VLOOKUP(I$10,'Quadro Geral'!$E$9:$H$43,3,FALSE)='Matriz Objetivos x Projetos'!$B22,"P",IF(OR(VLOOKUP('Matriz Objetivos x Projetos'!I$10,'Quadro Geral'!$E$9:$H$43,4,FALSE)='Matriz Objetivos x Projetos'!$B22,VLOOKUP('Matriz Objetivos x Projetos'!I$10,'Quadro Geral'!$E$9:$H$29,5,FALSE)='Matriz Objetivos x Projetos'!$B22),"S","")),"")</f>
        <v/>
      </c>
      <c r="J22" s="20" t="str">
        <f>IFERROR(IF(VLOOKUP(J$10,'Quadro Geral'!$E$9:$H$43,3,FALSE)='Matriz Objetivos x Projetos'!$B22,"P",IF(OR(VLOOKUP('Matriz Objetivos x Projetos'!J$10,'Quadro Geral'!$E$9:$H$43,4,FALSE)='Matriz Objetivos x Projetos'!$B22,VLOOKUP('Matriz Objetivos x Projetos'!J$10,'Quadro Geral'!$E$9:$H$29,5,FALSE)='Matriz Objetivos x Projetos'!$B22),"S","")),"")</f>
        <v/>
      </c>
      <c r="K22" s="20" t="str">
        <f>IFERROR(IF(VLOOKUP(K$10,'Quadro Geral'!$E$9:$H$43,3,FALSE)='Matriz Objetivos x Projetos'!$B22,"P",IF(OR(VLOOKUP('Matriz Objetivos x Projetos'!K$10,'Quadro Geral'!$E$9:$H$43,4,FALSE)='Matriz Objetivos x Projetos'!$B22,VLOOKUP('Matriz Objetivos x Projetos'!K$10,'Quadro Geral'!$E$9:$H$29,5,FALSE)='Matriz Objetivos x Projetos'!$B22),"S","")),"")</f>
        <v/>
      </c>
      <c r="L22" s="20" t="str">
        <f>IFERROR(IF(VLOOKUP(L$10,'Quadro Geral'!$E$9:$H$43,3,FALSE)='Matriz Objetivos x Projetos'!$B22,"P",IF(OR(VLOOKUP('Matriz Objetivos x Projetos'!L$10,'Quadro Geral'!$E$9:$H$43,4,FALSE)='Matriz Objetivos x Projetos'!$B22,VLOOKUP('Matriz Objetivos x Projetos'!L$10,'Quadro Geral'!$E$9:$H$29,5,FALSE)='Matriz Objetivos x Projetos'!$B22),"S","")),"")</f>
        <v/>
      </c>
      <c r="M22" s="20" t="str">
        <f>IFERROR(IF(VLOOKUP(M$10,'Quadro Geral'!$E$9:$H$43,3,FALSE)='Matriz Objetivos x Projetos'!$B22,"P",IF(OR(VLOOKUP('Matriz Objetivos x Projetos'!M$10,'Quadro Geral'!$E$9:$H$43,4,FALSE)='Matriz Objetivos x Projetos'!$B22,VLOOKUP('Matriz Objetivos x Projetos'!M$10,'Quadro Geral'!$E$9:$H$29,5,FALSE)='Matriz Objetivos x Projetos'!$B22),"S","")),"")</f>
        <v/>
      </c>
      <c r="N22" s="20" t="str">
        <f>IFERROR(IF(VLOOKUP(N$10,'Quadro Geral'!$E$9:$H$43,3,FALSE)='Matriz Objetivos x Projetos'!$B22,"P",IF(OR(VLOOKUP('Matriz Objetivos x Projetos'!N$10,'Quadro Geral'!$E$9:$H$43,4,FALSE)='Matriz Objetivos x Projetos'!$B22,VLOOKUP('Matriz Objetivos x Projetos'!N$10,'Quadro Geral'!$E$9:$H$29,5,FALSE)='Matriz Objetivos x Projetos'!$B22),"S","")),"")</f>
        <v/>
      </c>
      <c r="O22" s="20" t="str">
        <f>IFERROR(IF(VLOOKUP(O$10,'Quadro Geral'!$E$9:$H$43,3,FALSE)='Matriz Objetivos x Projetos'!$B22,"P",IF(OR(VLOOKUP('Matriz Objetivos x Projetos'!O$10,'Quadro Geral'!$E$9:$H$43,4,FALSE)='Matriz Objetivos x Projetos'!$B22,VLOOKUP('Matriz Objetivos x Projetos'!O$10,'Quadro Geral'!$E$9:$H$29,5,FALSE)='Matriz Objetivos x Projetos'!$B22),"S","")),"")</f>
        <v/>
      </c>
      <c r="P22" s="20" t="str">
        <f>IFERROR(IF(VLOOKUP(P$10,'Quadro Geral'!$E$9:$H$43,3,FALSE)='Matriz Objetivos x Projetos'!$B22,"P",IF(OR(VLOOKUP('Matriz Objetivos x Projetos'!P$10,'Quadro Geral'!$E$9:$H$43,4,FALSE)='Matriz Objetivos x Projetos'!$B22,VLOOKUP('Matriz Objetivos x Projetos'!P$10,'Quadro Geral'!$E$9:$H$29,5,FALSE)='Matriz Objetivos x Projetos'!$B22),"S","")),"")</f>
        <v/>
      </c>
      <c r="Q22" s="20" t="str">
        <f>IFERROR(IF(VLOOKUP(Q$10,'Quadro Geral'!$E$9:$H$43,3,FALSE)='Matriz Objetivos x Projetos'!$B22,"P",IF(OR(VLOOKUP('Matriz Objetivos x Projetos'!Q$10,'Quadro Geral'!$E$9:$H$43,4,FALSE)='Matriz Objetivos x Projetos'!$B22,VLOOKUP('Matriz Objetivos x Projetos'!Q$10,'Quadro Geral'!$E$9:$H$29,5,FALSE)='Matriz Objetivos x Projetos'!$B22),"S","")),"")</f>
        <v/>
      </c>
      <c r="R22" s="20" t="str">
        <f>IFERROR(IF(VLOOKUP(R$10,'Quadro Geral'!$E$9:$H$43,3,FALSE)='Matriz Objetivos x Projetos'!$B22,"P",IF(OR(VLOOKUP('Matriz Objetivos x Projetos'!R$10,'Quadro Geral'!$E$9:$H$43,4,FALSE)='Matriz Objetivos x Projetos'!$B22,VLOOKUP('Matriz Objetivos x Projetos'!R$10,'Quadro Geral'!$E$9:$H$29,5,FALSE)='Matriz Objetivos x Projetos'!$B22),"S","")),"")</f>
        <v/>
      </c>
      <c r="S22" s="20" t="str">
        <f>IFERROR(IF(VLOOKUP(S$10,'Quadro Geral'!$E$9:$H$43,3,FALSE)='Matriz Objetivos x Projetos'!$B22,"P",IF(OR(VLOOKUP('Matriz Objetivos x Projetos'!S$10,'Quadro Geral'!$E$9:$H$43,4,FALSE)='Matriz Objetivos x Projetos'!$B22,VLOOKUP('Matriz Objetivos x Projetos'!S$10,'Quadro Geral'!$E$9:$H$29,5,FALSE)='Matriz Objetivos x Projetos'!$B22),"S","")),"")</f>
        <v/>
      </c>
      <c r="T22" s="20" t="str">
        <f>IFERROR(IF(VLOOKUP(T$10,'Quadro Geral'!$E$9:$H$43,3,FALSE)='Matriz Objetivos x Projetos'!$B22,"P",IF(OR(VLOOKUP('Matriz Objetivos x Projetos'!T$10,'Quadro Geral'!$E$9:$H$43,4,FALSE)='Matriz Objetivos x Projetos'!$B22,VLOOKUP('Matriz Objetivos x Projetos'!T$10,'Quadro Geral'!$E$9:$H$29,5,FALSE)='Matriz Objetivos x Projetos'!$B22),"S","")),"")</f>
        <v>P</v>
      </c>
      <c r="U22" s="20" t="str">
        <f>IFERROR(IF(VLOOKUP(U$10,'Quadro Geral'!$E$9:$H$43,3,FALSE)='Matriz Objetivos x Projetos'!$B22,"P",IF(OR(VLOOKUP('Matriz Objetivos x Projetos'!U$10,'Quadro Geral'!$E$9:$H$43,4,FALSE)='Matriz Objetivos x Projetos'!$B22,VLOOKUP('Matriz Objetivos x Projetos'!U$10,'Quadro Geral'!$E$9:$H$29,5,FALSE)='Matriz Objetivos x Projetos'!$B22),"S","")),"")</f>
        <v/>
      </c>
      <c r="V22" s="20" t="str">
        <f>IFERROR(IF(VLOOKUP(V$10,'Quadro Geral'!$E$9:$H$43,3,FALSE)='Matriz Objetivos x Projetos'!$B22,"P",IF(OR(VLOOKUP('Matriz Objetivos x Projetos'!V$10,'Quadro Geral'!$E$9:$H$43,4,FALSE)='Matriz Objetivos x Projetos'!$B22,VLOOKUP('Matriz Objetivos x Projetos'!V$10,'Quadro Geral'!$E$9:$H$29,5,FALSE)='Matriz Objetivos x Projetos'!$B22),"S","")),"")</f>
        <v/>
      </c>
      <c r="W22" s="20" t="str">
        <f>IFERROR(IF(VLOOKUP(W$10,'Quadro Geral'!$E$9:$H$43,3,FALSE)='Matriz Objetivos x Projetos'!$B22,"P",IF(OR(VLOOKUP('Matriz Objetivos x Projetos'!W$10,'Quadro Geral'!$E$9:$H$43,4,FALSE)='Matriz Objetivos x Projetos'!$B22,VLOOKUP('Matriz Objetivos x Projetos'!W$10,'Quadro Geral'!$E$9:$H$29,5,FALSE)='Matriz Objetivos x Projetos'!$B22),"S","")),"")</f>
        <v/>
      </c>
      <c r="X22" s="17">
        <f t="shared" si="0"/>
        <v>0</v>
      </c>
      <c r="Y22" s="16" t="str">
        <f t="shared" si="1"/>
        <v>Pessoas e Infraestrutura</v>
      </c>
    </row>
    <row r="23" spans="1:25" ht="63" customHeight="1" x14ac:dyDescent="0.2">
      <c r="A23" s="177"/>
      <c r="B23" s="175" t="s">
        <v>67</v>
      </c>
      <c r="C23" s="20" t="str">
        <f>IFERROR(IF(VLOOKUP(C$10,'Quadro Geral'!$E$9:$H$43,3,FALSE)='Matriz Objetivos x Projetos'!$B23,"P",IF(OR(VLOOKUP('Matriz Objetivos x Projetos'!C$10,'Quadro Geral'!$E$9:$H$43,4,FALSE)='Matriz Objetivos x Projetos'!$B23,VLOOKUP('Matriz Objetivos x Projetos'!C$10,'Quadro Geral'!$E$9:$H$29,5,FALSE)='Matriz Objetivos x Projetos'!$B23),"S","")),"")</f>
        <v/>
      </c>
      <c r="D23" s="20" t="str">
        <f>IFERROR(IF(VLOOKUP(D$10,'Quadro Geral'!$E$9:$H$43,3,FALSE)='Matriz Objetivos x Projetos'!$B23,"P",IF(OR(VLOOKUP('Matriz Objetivos x Projetos'!D$10,'Quadro Geral'!$E$9:$H$43,4,FALSE)='Matriz Objetivos x Projetos'!$B23,VLOOKUP('Matriz Objetivos x Projetos'!D$10,'Quadro Geral'!$E$9:$H$29,5,FALSE)='Matriz Objetivos x Projetos'!$B23),"S","")),"")</f>
        <v>P</v>
      </c>
      <c r="E23" s="20" t="str">
        <f>IFERROR(IF(VLOOKUP(E$10,'Quadro Geral'!$E$9:$H$43,3,FALSE)='Matriz Objetivos x Projetos'!$B23,"P",IF(OR(VLOOKUP('Matriz Objetivos x Projetos'!E$10,'Quadro Geral'!$E$9:$H$43,4,FALSE)='Matriz Objetivos x Projetos'!$B23,VLOOKUP('Matriz Objetivos x Projetos'!E$10,'Quadro Geral'!$E$9:$H$29,5,FALSE)='Matriz Objetivos x Projetos'!$B23),"S","")),"")</f>
        <v/>
      </c>
      <c r="F23" s="20" t="str">
        <f>IFERROR(IF(VLOOKUP(F$10,'Quadro Geral'!$E$9:$H$43,3,FALSE)='Matriz Objetivos x Projetos'!$B23,"P",IF(OR(VLOOKUP('Matriz Objetivos x Projetos'!F$10,'Quadro Geral'!$E$9:$H$43,4,FALSE)='Matriz Objetivos x Projetos'!$B23,VLOOKUP('Matriz Objetivos x Projetos'!F$10,'Quadro Geral'!$E$9:$H$29,5,FALSE)='Matriz Objetivos x Projetos'!$B23),"S","")),"")</f>
        <v/>
      </c>
      <c r="G23" s="20" t="str">
        <f>IFERROR(IF(VLOOKUP(G$10,'Quadro Geral'!$E$9:$H$43,3,FALSE)='Matriz Objetivos x Projetos'!$B23,"P",IF(OR(VLOOKUP('Matriz Objetivos x Projetos'!G$10,'Quadro Geral'!$E$9:$H$43,4,FALSE)='Matriz Objetivos x Projetos'!$B23,VLOOKUP('Matriz Objetivos x Projetos'!G$10,'Quadro Geral'!$E$9:$H$29,5,FALSE)='Matriz Objetivos x Projetos'!$B23),"S","")),"")</f>
        <v/>
      </c>
      <c r="H23" s="20" t="str">
        <f>IFERROR(IF(VLOOKUP(H$10,'Quadro Geral'!$E$9:$H$43,3,FALSE)='Matriz Objetivos x Projetos'!$B23,"P",IF(OR(VLOOKUP('Matriz Objetivos x Projetos'!H$10,'Quadro Geral'!$E$9:$H$43,4,FALSE)='Matriz Objetivos x Projetos'!$B23,VLOOKUP('Matriz Objetivos x Projetos'!H$10,'Quadro Geral'!$E$9:$H$29,5,FALSE)='Matriz Objetivos x Projetos'!$B23),"S","")),"")</f>
        <v/>
      </c>
      <c r="I23" s="20" t="str">
        <f>IFERROR(IF(VLOOKUP(I$10,'Quadro Geral'!$E$9:$H$43,3,FALSE)='Matriz Objetivos x Projetos'!$B23,"P",IF(OR(VLOOKUP('Matriz Objetivos x Projetos'!I$10,'Quadro Geral'!$E$9:$H$43,4,FALSE)='Matriz Objetivos x Projetos'!$B23,VLOOKUP('Matriz Objetivos x Projetos'!I$10,'Quadro Geral'!$E$9:$H$29,5,FALSE)='Matriz Objetivos x Projetos'!$B23),"S","")),"")</f>
        <v/>
      </c>
      <c r="J23" s="20" t="str">
        <f>IFERROR(IF(VLOOKUP(J$10,'Quadro Geral'!$E$9:$H$43,3,FALSE)='Matriz Objetivos x Projetos'!$B23,"P",IF(OR(VLOOKUP('Matriz Objetivos x Projetos'!J$10,'Quadro Geral'!$E$9:$H$43,4,FALSE)='Matriz Objetivos x Projetos'!$B23,VLOOKUP('Matriz Objetivos x Projetos'!J$10,'Quadro Geral'!$E$9:$H$29,5,FALSE)='Matriz Objetivos x Projetos'!$B23),"S","")),"")</f>
        <v/>
      </c>
      <c r="K23" s="20" t="str">
        <f>IFERROR(IF(VLOOKUP(K$10,'Quadro Geral'!$E$9:$H$43,3,FALSE)='Matriz Objetivos x Projetos'!$B23,"P",IF(OR(VLOOKUP('Matriz Objetivos x Projetos'!K$10,'Quadro Geral'!$E$9:$H$43,4,FALSE)='Matriz Objetivos x Projetos'!$B23,VLOOKUP('Matriz Objetivos x Projetos'!K$10,'Quadro Geral'!$E$9:$H$29,5,FALSE)='Matriz Objetivos x Projetos'!$B23),"S","")),"")</f>
        <v/>
      </c>
      <c r="L23" s="20" t="str">
        <f>IFERROR(IF(VLOOKUP(L$10,'Quadro Geral'!$E$9:$H$43,3,FALSE)='Matriz Objetivos x Projetos'!$B23,"P",IF(OR(VLOOKUP('Matriz Objetivos x Projetos'!L$10,'Quadro Geral'!$E$9:$H$43,4,FALSE)='Matriz Objetivos x Projetos'!$B23,VLOOKUP('Matriz Objetivos x Projetos'!L$10,'Quadro Geral'!$E$9:$H$29,5,FALSE)='Matriz Objetivos x Projetos'!$B23),"S","")),"")</f>
        <v/>
      </c>
      <c r="M23" s="20" t="str">
        <f>IFERROR(IF(VLOOKUP(M$10,'Quadro Geral'!$E$9:$H$43,3,FALSE)='Matriz Objetivos x Projetos'!$B23,"P",IF(OR(VLOOKUP('Matriz Objetivos x Projetos'!M$10,'Quadro Geral'!$E$9:$H$43,4,FALSE)='Matriz Objetivos x Projetos'!$B23,VLOOKUP('Matriz Objetivos x Projetos'!M$10,'Quadro Geral'!$E$9:$H$29,5,FALSE)='Matriz Objetivos x Projetos'!$B23),"S","")),"")</f>
        <v/>
      </c>
      <c r="N23" s="20" t="str">
        <f>IFERROR(IF(VLOOKUP(N$10,'Quadro Geral'!$E$9:$H$43,3,FALSE)='Matriz Objetivos x Projetos'!$B23,"P",IF(OR(VLOOKUP('Matriz Objetivos x Projetos'!N$10,'Quadro Geral'!$E$9:$H$43,4,FALSE)='Matriz Objetivos x Projetos'!$B23,VLOOKUP('Matriz Objetivos x Projetos'!N$10,'Quadro Geral'!$E$9:$H$29,5,FALSE)='Matriz Objetivos x Projetos'!$B23),"S","")),"")</f>
        <v/>
      </c>
      <c r="O23" s="20" t="str">
        <f>IFERROR(IF(VLOOKUP(O$10,'Quadro Geral'!$E$9:$H$43,3,FALSE)='Matriz Objetivos x Projetos'!$B23,"P",IF(OR(VLOOKUP('Matriz Objetivos x Projetos'!O$10,'Quadro Geral'!$E$9:$H$43,4,FALSE)='Matriz Objetivos x Projetos'!$B23,VLOOKUP('Matriz Objetivos x Projetos'!O$10,'Quadro Geral'!$E$9:$H$29,5,FALSE)='Matriz Objetivos x Projetos'!$B23),"S","")),"")</f>
        <v/>
      </c>
      <c r="P23" s="20" t="str">
        <f>IFERROR(IF(VLOOKUP(P$10,'Quadro Geral'!$E$9:$H$43,3,FALSE)='Matriz Objetivos x Projetos'!$B23,"P",IF(OR(VLOOKUP('Matriz Objetivos x Projetos'!P$10,'Quadro Geral'!$E$9:$H$43,4,FALSE)='Matriz Objetivos x Projetos'!$B23,VLOOKUP('Matriz Objetivos x Projetos'!P$10,'Quadro Geral'!$E$9:$H$29,5,FALSE)='Matriz Objetivos x Projetos'!$B23),"S","")),"")</f>
        <v/>
      </c>
      <c r="Q23" s="20" t="str">
        <f>IFERROR(IF(VLOOKUP(Q$10,'Quadro Geral'!$E$9:$H$43,3,FALSE)='Matriz Objetivos x Projetos'!$B23,"P",IF(OR(VLOOKUP('Matriz Objetivos x Projetos'!Q$10,'Quadro Geral'!$E$9:$H$43,4,FALSE)='Matriz Objetivos x Projetos'!$B23,VLOOKUP('Matriz Objetivos x Projetos'!Q$10,'Quadro Geral'!$E$9:$H$29,5,FALSE)='Matriz Objetivos x Projetos'!$B23),"S","")),"")</f>
        <v/>
      </c>
      <c r="R23" s="20" t="str">
        <f>IFERROR(IF(VLOOKUP(R$10,'Quadro Geral'!$E$9:$H$43,3,FALSE)='Matriz Objetivos x Projetos'!$B23,"P",IF(OR(VLOOKUP('Matriz Objetivos x Projetos'!R$10,'Quadro Geral'!$E$9:$H$43,4,FALSE)='Matriz Objetivos x Projetos'!$B23,VLOOKUP('Matriz Objetivos x Projetos'!R$10,'Quadro Geral'!$E$9:$H$29,5,FALSE)='Matriz Objetivos x Projetos'!$B23),"S","")),"")</f>
        <v/>
      </c>
      <c r="S23" s="20" t="str">
        <f>IFERROR(IF(VLOOKUP(S$10,'Quadro Geral'!$E$9:$H$43,3,FALSE)='Matriz Objetivos x Projetos'!$B23,"P",IF(OR(VLOOKUP('Matriz Objetivos x Projetos'!S$10,'Quadro Geral'!$E$9:$H$43,4,FALSE)='Matriz Objetivos x Projetos'!$B23,VLOOKUP('Matriz Objetivos x Projetos'!S$10,'Quadro Geral'!$E$9:$H$29,5,FALSE)='Matriz Objetivos x Projetos'!$B23),"S","")),"")</f>
        <v/>
      </c>
      <c r="T23" s="20" t="str">
        <f>IFERROR(IF(VLOOKUP(T$10,'Quadro Geral'!$E$9:$H$43,3,FALSE)='Matriz Objetivos x Projetos'!$B23,"P",IF(OR(VLOOKUP('Matriz Objetivos x Projetos'!T$10,'Quadro Geral'!$E$9:$H$43,4,FALSE)='Matriz Objetivos x Projetos'!$B23,VLOOKUP('Matriz Objetivos x Projetos'!T$10,'Quadro Geral'!$E$9:$H$29,5,FALSE)='Matriz Objetivos x Projetos'!$B23),"S","")),"")</f>
        <v/>
      </c>
      <c r="U23" s="20" t="str">
        <f>IFERROR(IF(VLOOKUP(U$10,'Quadro Geral'!$E$9:$H$43,3,FALSE)='Matriz Objetivos x Projetos'!$B23,"P",IF(OR(VLOOKUP('Matriz Objetivos x Projetos'!U$10,'Quadro Geral'!$E$9:$H$43,4,FALSE)='Matriz Objetivos x Projetos'!$B23,VLOOKUP('Matriz Objetivos x Projetos'!U$10,'Quadro Geral'!$E$9:$H$29,5,FALSE)='Matriz Objetivos x Projetos'!$B23),"S","")),"")</f>
        <v/>
      </c>
      <c r="V23" s="20" t="str">
        <f>IFERROR(IF(VLOOKUP(V$10,'Quadro Geral'!$E$9:$H$43,3,FALSE)='Matriz Objetivos x Projetos'!$B23,"P",IF(OR(VLOOKUP('Matriz Objetivos x Projetos'!V$10,'Quadro Geral'!$E$9:$H$43,4,FALSE)='Matriz Objetivos x Projetos'!$B23,VLOOKUP('Matriz Objetivos x Projetos'!V$10,'Quadro Geral'!$E$9:$H$29,5,FALSE)='Matriz Objetivos x Projetos'!$B23),"S","")),"")</f>
        <v/>
      </c>
      <c r="W23" s="20" t="str">
        <f>IFERROR(IF(VLOOKUP(W$10,'Quadro Geral'!$E$9:$H$43,3,FALSE)='Matriz Objetivos x Projetos'!$B23,"P",IF(OR(VLOOKUP('Matriz Objetivos x Projetos'!W$10,'Quadro Geral'!$E$9:$H$43,4,FALSE)='Matriz Objetivos x Projetos'!$B23,VLOOKUP('Matriz Objetivos x Projetos'!W$10,'Quadro Geral'!$E$9:$H$29,5,FALSE)='Matriz Objetivos x Projetos'!$B23),"S","")),"")</f>
        <v/>
      </c>
      <c r="X23" s="17">
        <f t="shared" si="0"/>
        <v>0</v>
      </c>
      <c r="Y23" s="16" t="str">
        <f t="shared" si="1"/>
        <v>Pessoas e Infraestrutura</v>
      </c>
    </row>
    <row r="24" spans="1:25" ht="63" customHeight="1" x14ac:dyDescent="0.2">
      <c r="A24" s="178"/>
      <c r="B24" s="175" t="s">
        <v>68</v>
      </c>
      <c r="C24" s="20" t="str">
        <f>IFERROR(IF(VLOOKUP(C$10,'Quadro Geral'!$E$9:$H$43,3,FALSE)='Matriz Objetivos x Projetos'!$B24,"P",IF(OR(VLOOKUP('Matriz Objetivos x Projetos'!C$10,'Quadro Geral'!$E$9:$H$43,4,FALSE)='Matriz Objetivos x Projetos'!$B24,VLOOKUP('Matriz Objetivos x Projetos'!C$10,'Quadro Geral'!$E$9:$H$29,5,FALSE)='Matriz Objetivos x Projetos'!$B24),"S","")),"")</f>
        <v/>
      </c>
      <c r="D24" s="20" t="str">
        <f>IFERROR(IF(VLOOKUP(D$10,'Quadro Geral'!$E$9:$H$43,3,FALSE)='Matriz Objetivos x Projetos'!$B24,"P",IF(OR(VLOOKUP('Matriz Objetivos x Projetos'!D$10,'Quadro Geral'!$E$9:$H$43,4,FALSE)='Matriz Objetivos x Projetos'!$B24,VLOOKUP('Matriz Objetivos x Projetos'!D$10,'Quadro Geral'!$E$9:$H$29,5,FALSE)='Matriz Objetivos x Projetos'!$B24),"S","")),"")</f>
        <v/>
      </c>
      <c r="E24" s="20" t="str">
        <f>IFERROR(IF(VLOOKUP(E$10,'Quadro Geral'!$E$9:$H$43,3,FALSE)='Matriz Objetivos x Projetos'!$B24,"P",IF(OR(VLOOKUP('Matriz Objetivos x Projetos'!E$10,'Quadro Geral'!$E$9:$H$43,4,FALSE)='Matriz Objetivos x Projetos'!$B24,VLOOKUP('Matriz Objetivos x Projetos'!E$10,'Quadro Geral'!$E$9:$H$29,5,FALSE)='Matriz Objetivos x Projetos'!$B24),"S","")),"")</f>
        <v/>
      </c>
      <c r="F24" s="20" t="str">
        <f>IFERROR(IF(VLOOKUP(F$10,'Quadro Geral'!$E$9:$H$43,3,FALSE)='Matriz Objetivos x Projetos'!$B24,"P",IF(OR(VLOOKUP('Matriz Objetivos x Projetos'!F$10,'Quadro Geral'!$E$9:$H$43,4,FALSE)='Matriz Objetivos x Projetos'!$B24,VLOOKUP('Matriz Objetivos x Projetos'!F$10,'Quadro Geral'!$E$9:$H$29,5,FALSE)='Matriz Objetivos x Projetos'!$B24),"S","")),"")</f>
        <v/>
      </c>
      <c r="G24" s="20" t="str">
        <f>IFERROR(IF(VLOOKUP(G$10,'Quadro Geral'!$E$9:$H$43,3,FALSE)='Matriz Objetivos x Projetos'!$B24,"P",IF(OR(VLOOKUP('Matriz Objetivos x Projetos'!G$10,'Quadro Geral'!$E$9:$H$43,4,FALSE)='Matriz Objetivos x Projetos'!$B24,VLOOKUP('Matriz Objetivos x Projetos'!G$10,'Quadro Geral'!$E$9:$H$29,5,FALSE)='Matriz Objetivos x Projetos'!$B24),"S","")),"")</f>
        <v/>
      </c>
      <c r="H24" s="20" t="str">
        <f>IFERROR(IF(VLOOKUP(H$10,'Quadro Geral'!$E$9:$H$43,3,FALSE)='Matriz Objetivos x Projetos'!$B24,"P",IF(OR(VLOOKUP('Matriz Objetivos x Projetos'!H$10,'Quadro Geral'!$E$9:$H$43,4,FALSE)='Matriz Objetivos x Projetos'!$B24,VLOOKUP('Matriz Objetivos x Projetos'!H$10,'Quadro Geral'!$E$9:$H$29,5,FALSE)='Matriz Objetivos x Projetos'!$B24),"S","")),"")</f>
        <v/>
      </c>
      <c r="I24" s="20" t="str">
        <f>IFERROR(IF(VLOOKUP(I$10,'Quadro Geral'!$E$9:$H$43,3,FALSE)='Matriz Objetivos x Projetos'!$B24,"P",IF(OR(VLOOKUP('Matriz Objetivos x Projetos'!I$10,'Quadro Geral'!$E$9:$H$43,4,FALSE)='Matriz Objetivos x Projetos'!$B24,VLOOKUP('Matriz Objetivos x Projetos'!I$10,'Quadro Geral'!$E$9:$H$29,5,FALSE)='Matriz Objetivos x Projetos'!$B24),"S","")),"")</f>
        <v/>
      </c>
      <c r="J24" s="20" t="str">
        <f>IFERROR(IF(VLOOKUP(J$10,'Quadro Geral'!$E$9:$H$43,3,FALSE)='Matriz Objetivos x Projetos'!$B24,"P",IF(OR(VLOOKUP('Matriz Objetivos x Projetos'!J$10,'Quadro Geral'!$E$9:$H$43,4,FALSE)='Matriz Objetivos x Projetos'!$B24,VLOOKUP('Matriz Objetivos x Projetos'!J$10,'Quadro Geral'!$E$9:$H$29,5,FALSE)='Matriz Objetivos x Projetos'!$B24),"S","")),"")</f>
        <v/>
      </c>
      <c r="K24" s="20" t="str">
        <f>IFERROR(IF(VLOOKUP(K$10,'Quadro Geral'!$E$9:$H$43,3,FALSE)='Matriz Objetivos x Projetos'!$B24,"P",IF(OR(VLOOKUP('Matriz Objetivos x Projetos'!K$10,'Quadro Geral'!$E$9:$H$43,4,FALSE)='Matriz Objetivos x Projetos'!$B24,VLOOKUP('Matriz Objetivos x Projetos'!K$10,'Quadro Geral'!$E$9:$H$29,5,FALSE)='Matriz Objetivos x Projetos'!$B24),"S","")),"")</f>
        <v/>
      </c>
      <c r="L24" s="20" t="str">
        <f>IFERROR(IF(VLOOKUP(L$10,'Quadro Geral'!$E$9:$H$43,3,FALSE)='Matriz Objetivos x Projetos'!$B24,"P",IF(OR(VLOOKUP('Matriz Objetivos x Projetos'!L$10,'Quadro Geral'!$E$9:$H$43,4,FALSE)='Matriz Objetivos x Projetos'!$B24,VLOOKUP('Matriz Objetivos x Projetos'!L$10,'Quadro Geral'!$E$9:$H$29,5,FALSE)='Matriz Objetivos x Projetos'!$B24),"S","")),"")</f>
        <v/>
      </c>
      <c r="M24" s="20" t="str">
        <f>IFERROR(IF(VLOOKUP(M$10,'Quadro Geral'!$E$9:$H$43,3,FALSE)='Matriz Objetivos x Projetos'!$B24,"P",IF(OR(VLOOKUP('Matriz Objetivos x Projetos'!M$10,'Quadro Geral'!$E$9:$H$43,4,FALSE)='Matriz Objetivos x Projetos'!$B24,VLOOKUP('Matriz Objetivos x Projetos'!M$10,'Quadro Geral'!$E$9:$H$29,5,FALSE)='Matriz Objetivos x Projetos'!$B24),"S","")),"")</f>
        <v/>
      </c>
      <c r="N24" s="20" t="str">
        <f>IFERROR(IF(VLOOKUP(N$10,'Quadro Geral'!$E$9:$H$43,3,FALSE)='Matriz Objetivos x Projetos'!$B24,"P",IF(OR(VLOOKUP('Matriz Objetivos x Projetos'!N$10,'Quadro Geral'!$E$9:$H$43,4,FALSE)='Matriz Objetivos x Projetos'!$B24,VLOOKUP('Matriz Objetivos x Projetos'!N$10,'Quadro Geral'!$E$9:$H$29,5,FALSE)='Matriz Objetivos x Projetos'!$B24),"S","")),"")</f>
        <v/>
      </c>
      <c r="O24" s="20" t="str">
        <f>IFERROR(IF(VLOOKUP(O$10,'Quadro Geral'!$E$9:$H$43,3,FALSE)='Matriz Objetivos x Projetos'!$B24,"P",IF(OR(VLOOKUP('Matriz Objetivos x Projetos'!O$10,'Quadro Geral'!$E$9:$H$43,4,FALSE)='Matriz Objetivos x Projetos'!$B24,VLOOKUP('Matriz Objetivos x Projetos'!O$10,'Quadro Geral'!$E$9:$H$29,5,FALSE)='Matriz Objetivos x Projetos'!$B24),"S","")),"")</f>
        <v/>
      </c>
      <c r="P24" s="20" t="str">
        <f>IFERROR(IF(VLOOKUP(P$10,'Quadro Geral'!$E$9:$H$43,3,FALSE)='Matriz Objetivos x Projetos'!$B24,"P",IF(OR(VLOOKUP('Matriz Objetivos x Projetos'!P$10,'Quadro Geral'!$E$9:$H$43,4,FALSE)='Matriz Objetivos x Projetos'!$B24,VLOOKUP('Matriz Objetivos x Projetos'!P$10,'Quadro Geral'!$E$9:$H$29,5,FALSE)='Matriz Objetivos x Projetos'!$B24),"S","")),"")</f>
        <v/>
      </c>
      <c r="Q24" s="20" t="str">
        <f>IFERROR(IF(VLOOKUP(Q$10,'Quadro Geral'!$E$9:$H$43,3,FALSE)='Matriz Objetivos x Projetos'!$B24,"P",IF(OR(VLOOKUP('Matriz Objetivos x Projetos'!Q$10,'Quadro Geral'!$E$9:$H$43,4,FALSE)='Matriz Objetivos x Projetos'!$B24,VLOOKUP('Matriz Objetivos x Projetos'!Q$10,'Quadro Geral'!$E$9:$H$29,5,FALSE)='Matriz Objetivos x Projetos'!$B24),"S","")),"")</f>
        <v/>
      </c>
      <c r="R24" s="20" t="str">
        <f>IFERROR(IF(VLOOKUP(R$10,'Quadro Geral'!$E$9:$H$43,3,FALSE)='Matriz Objetivos x Projetos'!$B24,"P",IF(OR(VLOOKUP('Matriz Objetivos x Projetos'!R$10,'Quadro Geral'!$E$9:$H$43,4,FALSE)='Matriz Objetivos x Projetos'!$B24,VLOOKUP('Matriz Objetivos x Projetos'!R$10,'Quadro Geral'!$E$9:$H$29,5,FALSE)='Matriz Objetivos x Projetos'!$B24),"S","")),"")</f>
        <v/>
      </c>
      <c r="S24" s="20" t="str">
        <f>IFERROR(IF(VLOOKUP(S$10,'Quadro Geral'!$E$9:$H$43,3,FALSE)='Matriz Objetivos x Projetos'!$B24,"P",IF(OR(VLOOKUP('Matriz Objetivos x Projetos'!S$10,'Quadro Geral'!$E$9:$H$43,4,FALSE)='Matriz Objetivos x Projetos'!$B24,VLOOKUP('Matriz Objetivos x Projetos'!S$10,'Quadro Geral'!$E$9:$H$29,5,FALSE)='Matriz Objetivos x Projetos'!$B24),"S","")),"")</f>
        <v/>
      </c>
      <c r="T24" s="20" t="str">
        <f>IFERROR(IF(VLOOKUP(T$10,'Quadro Geral'!$E$9:$H$43,3,FALSE)='Matriz Objetivos x Projetos'!$B24,"P",IF(OR(VLOOKUP('Matriz Objetivos x Projetos'!T$10,'Quadro Geral'!$E$9:$H$43,4,FALSE)='Matriz Objetivos x Projetos'!$B24,VLOOKUP('Matriz Objetivos x Projetos'!T$10,'Quadro Geral'!$E$9:$H$29,5,FALSE)='Matriz Objetivos x Projetos'!$B24),"S","")),"")</f>
        <v/>
      </c>
      <c r="U24" s="20" t="str">
        <f>IFERROR(IF(VLOOKUP(U$10,'Quadro Geral'!$E$9:$H$43,3,FALSE)='Matriz Objetivos x Projetos'!$B24,"P",IF(OR(VLOOKUP('Matriz Objetivos x Projetos'!U$10,'Quadro Geral'!$E$9:$H$43,4,FALSE)='Matriz Objetivos x Projetos'!$B24,VLOOKUP('Matriz Objetivos x Projetos'!U$10,'Quadro Geral'!$E$9:$H$29,5,FALSE)='Matriz Objetivos x Projetos'!$B24),"S","")),"")</f>
        <v/>
      </c>
      <c r="V24" s="20" t="str">
        <f>IFERROR(IF(VLOOKUP(V$10,'Quadro Geral'!$E$9:$H$43,3,FALSE)='Matriz Objetivos x Projetos'!$B24,"P",IF(OR(VLOOKUP('Matriz Objetivos x Projetos'!V$10,'Quadro Geral'!$E$9:$H$43,4,FALSE)='Matriz Objetivos x Projetos'!$B24,VLOOKUP('Matriz Objetivos x Projetos'!V$10,'Quadro Geral'!$E$9:$H$29,5,FALSE)='Matriz Objetivos x Projetos'!$B24),"S","")),"")</f>
        <v/>
      </c>
      <c r="W24" s="20" t="str">
        <f>IFERROR(IF(VLOOKUP(W$10,'Quadro Geral'!$E$9:$H$43,3,FALSE)='Matriz Objetivos x Projetos'!$B24,"P",IF(OR(VLOOKUP('Matriz Objetivos x Projetos'!W$10,'Quadro Geral'!$E$9:$H$43,4,FALSE)='Matriz Objetivos x Projetos'!$B24,VLOOKUP('Matriz Objetivos x Projetos'!W$10,'Quadro Geral'!$E$9:$H$29,5,FALSE)='Matriz Objetivos x Projetos'!$B24),"S","")),"")</f>
        <v>P</v>
      </c>
      <c r="X24" s="17">
        <f t="shared" si="0"/>
        <v>0</v>
      </c>
      <c r="Y24" s="16" t="str">
        <f t="shared" si="1"/>
        <v>Pessoas e Infraestrutura</v>
      </c>
    </row>
    <row r="25" spans="1:25" x14ac:dyDescent="0.2">
      <c r="C25" s="17">
        <f t="shared" ref="C25:W25" si="2">COUNTIF(C11:C24,"x")</f>
        <v>0</v>
      </c>
      <c r="D25" s="17">
        <f t="shared" si="2"/>
        <v>0</v>
      </c>
      <c r="E25" s="17">
        <f t="shared" si="2"/>
        <v>0</v>
      </c>
      <c r="F25" s="17">
        <f t="shared" si="2"/>
        <v>0</v>
      </c>
      <c r="G25" s="17">
        <f t="shared" si="2"/>
        <v>0</v>
      </c>
      <c r="H25" s="17">
        <f t="shared" si="2"/>
        <v>0</v>
      </c>
      <c r="I25" s="17">
        <f t="shared" si="2"/>
        <v>0</v>
      </c>
      <c r="J25" s="17">
        <f t="shared" si="2"/>
        <v>0</v>
      </c>
      <c r="K25" s="17">
        <f t="shared" si="2"/>
        <v>0</v>
      </c>
      <c r="L25" s="17">
        <f t="shared" si="2"/>
        <v>0</v>
      </c>
      <c r="M25" s="17">
        <f t="shared" si="2"/>
        <v>0</v>
      </c>
      <c r="N25" s="17">
        <f t="shared" si="2"/>
        <v>0</v>
      </c>
      <c r="O25" s="17">
        <f t="shared" si="2"/>
        <v>0</v>
      </c>
      <c r="P25" s="17">
        <f t="shared" si="2"/>
        <v>0</v>
      </c>
      <c r="Q25" s="17">
        <f t="shared" si="2"/>
        <v>0</v>
      </c>
      <c r="R25" s="17">
        <f t="shared" si="2"/>
        <v>0</v>
      </c>
      <c r="S25" s="17">
        <f t="shared" si="2"/>
        <v>0</v>
      </c>
      <c r="T25" s="17">
        <f t="shared" si="2"/>
        <v>0</v>
      </c>
      <c r="U25" s="17">
        <f t="shared" si="2"/>
        <v>0</v>
      </c>
      <c r="V25" s="17">
        <f t="shared" si="2"/>
        <v>0</v>
      </c>
      <c r="W25" s="17">
        <f t="shared" si="2"/>
        <v>0</v>
      </c>
      <c r="X25" s="17"/>
    </row>
  </sheetData>
  <sheetProtection formatCells="0" selectLockedCells="1"/>
  <mergeCells count="4">
    <mergeCell ref="A11:A21"/>
    <mergeCell ref="A7:W7"/>
    <mergeCell ref="A8:W8"/>
    <mergeCell ref="A6:O6"/>
  </mergeCells>
  <conditionalFormatting sqref="C11:W24">
    <cfRule type="cellIs" dxfId="5" priority="1" operator="equal">
      <formula>"S"</formula>
    </cfRule>
    <cfRule type="cellIs" dxfId="4" priority="2" operator="equal">
      <formula>"P"</formula>
    </cfRule>
    <cfRule type="cellIs" dxfId="3" priority="3" operator="equal">
      <formula>"x"</formula>
    </cfRule>
  </conditionalFormatting>
  <pageMargins left="0.26" right="0.37" top="0.55118110236220474" bottom="0.43307086614173229" header="0.31496062992125984" footer="0.31496062992125984"/>
  <pageSetup paperSize="9" scale="51" orientation="landscape" verticalDpi="4294967295"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1"/>
  <sheetViews>
    <sheetView showGridLines="0" topLeftCell="A16" zoomScale="40" zoomScaleNormal="40" zoomScaleSheetLayoutView="80" workbookViewId="0">
      <selection activeCell="K21" sqref="K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376</v>
      </c>
      <c r="H7" s="572"/>
      <c r="I7" s="572"/>
      <c r="J7" s="572"/>
      <c r="K7" s="572"/>
      <c r="L7" s="572"/>
      <c r="M7" s="572"/>
      <c r="N7" s="572"/>
      <c r="O7" s="572"/>
      <c r="P7" s="572"/>
      <c r="Q7" s="572"/>
      <c r="R7" s="572"/>
      <c r="S7" s="2" t="b">
        <f>G7='Quadro Geral'!A17</f>
        <v>1</v>
      </c>
    </row>
    <row r="8" spans="1:19" ht="54" customHeight="1" x14ac:dyDescent="0.4">
      <c r="A8" s="571" t="s">
        <v>140</v>
      </c>
      <c r="B8" s="571"/>
      <c r="C8" s="571"/>
      <c r="D8" s="571"/>
      <c r="E8" s="571"/>
      <c r="F8" s="571"/>
      <c r="G8" s="572" t="s">
        <v>650</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394</v>
      </c>
      <c r="H10" s="572"/>
      <c r="I10" s="572"/>
      <c r="J10" s="572"/>
      <c r="K10" s="572"/>
      <c r="L10" s="572"/>
      <c r="M10" s="572"/>
      <c r="N10" s="572"/>
      <c r="O10" s="572"/>
      <c r="P10" s="572"/>
      <c r="Q10" s="572"/>
      <c r="R10" s="572"/>
      <c r="S10" s="2" t="b">
        <f>G10='Quadro Geral'!E17</f>
        <v>1</v>
      </c>
    </row>
    <row r="11" spans="1:19" ht="54" customHeight="1" x14ac:dyDescent="0.4">
      <c r="A11" s="571" t="s">
        <v>154</v>
      </c>
      <c r="B11" s="571"/>
      <c r="C11" s="571"/>
      <c r="D11" s="571"/>
      <c r="E11" s="571"/>
      <c r="F11" s="571"/>
      <c r="G11" s="572" t="s">
        <v>422</v>
      </c>
      <c r="H11" s="572"/>
      <c r="I11" s="572"/>
      <c r="J11" s="572"/>
      <c r="K11" s="572"/>
      <c r="L11" s="572"/>
      <c r="M11" s="572"/>
      <c r="N11" s="572"/>
      <c r="O11" s="572"/>
      <c r="P11" s="572"/>
      <c r="Q11" s="572"/>
      <c r="R11" s="572"/>
      <c r="S11" s="2" t="b">
        <f>G11='Quadro Geral'!F17</f>
        <v>1</v>
      </c>
    </row>
    <row r="12" spans="1:19" ht="54" customHeight="1" x14ac:dyDescent="0.4">
      <c r="A12" s="571" t="s">
        <v>142</v>
      </c>
      <c r="B12" s="571"/>
      <c r="C12" s="571"/>
      <c r="D12" s="571"/>
      <c r="E12" s="571"/>
      <c r="F12" s="571"/>
      <c r="G12" s="572" t="s">
        <v>53</v>
      </c>
      <c r="H12" s="572"/>
      <c r="I12" s="572"/>
      <c r="J12" s="572"/>
      <c r="K12" s="572"/>
      <c r="L12" s="572"/>
      <c r="M12" s="572"/>
      <c r="N12" s="572"/>
      <c r="O12" s="572"/>
      <c r="P12" s="572"/>
      <c r="Q12" s="572"/>
      <c r="R12" s="572"/>
      <c r="S12" s="2" t="b">
        <f>G12='Quadro Geral'!G17</f>
        <v>1</v>
      </c>
    </row>
    <row r="13" spans="1:19" ht="54" customHeight="1" x14ac:dyDescent="0.4">
      <c r="A13" s="383" t="s">
        <v>155</v>
      </c>
      <c r="B13" s="383"/>
      <c r="C13" s="383"/>
      <c r="D13" s="383"/>
      <c r="E13" s="383"/>
      <c r="F13" s="383"/>
      <c r="G13" s="573" t="s">
        <v>450</v>
      </c>
      <c r="H13" s="573"/>
      <c r="I13" s="573"/>
      <c r="J13" s="573"/>
      <c r="K13" s="573"/>
      <c r="L13" s="573"/>
      <c r="M13" s="573"/>
      <c r="N13" s="573"/>
      <c r="O13" s="573"/>
      <c r="P13" s="573"/>
      <c r="Q13" s="573"/>
      <c r="R13" s="573"/>
      <c r="S13" s="2" t="b">
        <f>G13='Quadro Geral'!H17</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262.5" x14ac:dyDescent="0.25">
      <c r="A18" s="136">
        <v>1</v>
      </c>
      <c r="B18" s="585" t="s">
        <v>641</v>
      </c>
      <c r="C18" s="122" t="s">
        <v>571</v>
      </c>
      <c r="D18" s="122" t="s">
        <v>572</v>
      </c>
      <c r="E18" s="122" t="s">
        <v>573</v>
      </c>
      <c r="F18" s="123">
        <v>43466</v>
      </c>
      <c r="G18" s="123">
        <v>43830</v>
      </c>
      <c r="H18" s="600">
        <v>20000</v>
      </c>
      <c r="I18" s="600">
        <v>16579</v>
      </c>
      <c r="J18" s="600">
        <v>13421</v>
      </c>
      <c r="K18" s="603">
        <f>I18+J18</f>
        <v>30000</v>
      </c>
      <c r="L18" s="138">
        <f>K18-H18</f>
        <v>10000</v>
      </c>
      <c r="M18" s="124">
        <f>IFERROR(L18/H18*100,0)</f>
        <v>50</v>
      </c>
      <c r="N18" s="124">
        <f>IFERROR(K18/$K$20*100,0)</f>
        <v>100</v>
      </c>
      <c r="O18" s="124" t="s">
        <v>165</v>
      </c>
      <c r="P18" s="167"/>
      <c r="Q18" s="171">
        <f>IFERROR(P18/K18*100,)</f>
        <v>0</v>
      </c>
      <c r="R18" s="122"/>
      <c r="AN18" s="2" t="s">
        <v>237</v>
      </c>
    </row>
    <row r="19" spans="1:40" ht="409.5" x14ac:dyDescent="0.25">
      <c r="A19" s="136">
        <v>2</v>
      </c>
      <c r="B19" s="587"/>
      <c r="C19" s="122" t="s">
        <v>574</v>
      </c>
      <c r="D19" s="122" t="s">
        <v>575</v>
      </c>
      <c r="E19" s="122" t="s">
        <v>576</v>
      </c>
      <c r="F19" s="123">
        <v>43466</v>
      </c>
      <c r="G19" s="123">
        <v>43830</v>
      </c>
      <c r="H19" s="602"/>
      <c r="I19" s="602"/>
      <c r="J19" s="602"/>
      <c r="K19" s="605"/>
      <c r="L19" s="138">
        <f t="shared" ref="L19:L20" si="0">K19-H19</f>
        <v>0</v>
      </c>
      <c r="M19" s="124">
        <f t="shared" ref="M19" si="1">IFERROR(L19/H19*100,0)</f>
        <v>0</v>
      </c>
      <c r="N19" s="124">
        <f>IFERROR(K19/$K$20*100,0)</f>
        <v>0</v>
      </c>
      <c r="O19" s="124" t="s">
        <v>165</v>
      </c>
      <c r="P19" s="167"/>
      <c r="Q19" s="171">
        <f t="shared" ref="Q19" si="2">IFERROR(P19/K19*100,)</f>
        <v>0</v>
      </c>
      <c r="R19" s="122"/>
    </row>
    <row r="20" spans="1:40" s="3" customFormat="1" ht="24.75" customHeight="1" x14ac:dyDescent="0.4">
      <c r="A20" s="597" t="s">
        <v>3</v>
      </c>
      <c r="B20" s="598"/>
      <c r="C20" s="598"/>
      <c r="D20" s="598"/>
      <c r="E20" s="598"/>
      <c r="F20" s="598"/>
      <c r="G20" s="599"/>
      <c r="H20" s="139">
        <f>SUM(H18:H19)</f>
        <v>20000</v>
      </c>
      <c r="I20" s="139">
        <f>SUM(I18:I19)</f>
        <v>16579</v>
      </c>
      <c r="J20" s="139">
        <f>SUM(J18:J19)</f>
        <v>13421</v>
      </c>
      <c r="K20" s="139">
        <f>SUM(K18:K19)</f>
        <v>30000</v>
      </c>
      <c r="L20" s="169">
        <f t="shared" si="0"/>
        <v>10000</v>
      </c>
      <c r="M20" s="170">
        <f>IFERROR(L20/H20*100,0)</f>
        <v>50</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s="3" customFormat="1" ht="24.75" customHeight="1" x14ac:dyDescent="0.4">
      <c r="A22" s="298"/>
      <c r="B22" s="298"/>
      <c r="C22" s="298"/>
      <c r="D22" s="298"/>
      <c r="E22" s="298"/>
      <c r="F22" s="298"/>
      <c r="G22" s="298"/>
      <c r="H22" s="307"/>
      <c r="I22" s="362"/>
      <c r="J22" s="362"/>
      <c r="K22" s="307"/>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50">
    <mergeCell ref="A12:F12"/>
    <mergeCell ref="G12:R12"/>
    <mergeCell ref="H18:H19"/>
    <mergeCell ref="I18:I19"/>
    <mergeCell ref="J18:J19"/>
    <mergeCell ref="K18:K19"/>
    <mergeCell ref="B18:B19"/>
    <mergeCell ref="R15:R17"/>
    <mergeCell ref="H16:H17"/>
    <mergeCell ref="C15:E15"/>
    <mergeCell ref="F15:G15"/>
    <mergeCell ref="H15:K15"/>
    <mergeCell ref="A13:F13"/>
    <mergeCell ref="G13:R13"/>
    <mergeCell ref="A14:R14"/>
    <mergeCell ref="C29:F29"/>
    <mergeCell ref="C30:F30"/>
    <mergeCell ref="A23:R23"/>
    <mergeCell ref="A24:R24"/>
    <mergeCell ref="A25:R25"/>
    <mergeCell ref="A26:F26"/>
    <mergeCell ref="C27:F27"/>
    <mergeCell ref="C28:F28"/>
    <mergeCell ref="A20:G20"/>
    <mergeCell ref="L15:M15"/>
    <mergeCell ref="N15:N17"/>
    <mergeCell ref="O15:O17"/>
    <mergeCell ref="P15:Q15"/>
    <mergeCell ref="A15:A17"/>
    <mergeCell ref="B15:B17"/>
    <mergeCell ref="I16:K16"/>
    <mergeCell ref="L16:L17"/>
    <mergeCell ref="M16:M17"/>
    <mergeCell ref="P16:P17"/>
    <mergeCell ref="Q16:Q17"/>
    <mergeCell ref="C16:C17"/>
    <mergeCell ref="D16:E16"/>
    <mergeCell ref="F16:F17"/>
    <mergeCell ref="G16:G17"/>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1"/>
  <sheetViews>
    <sheetView showGridLines="0" topLeftCell="A13" zoomScale="40" zoomScaleNormal="40" zoomScaleSheetLayoutView="80" workbookViewId="0">
      <selection activeCell="H20" sqref="H20:K20"/>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377</v>
      </c>
      <c r="H7" s="572"/>
      <c r="I7" s="572"/>
      <c r="J7" s="572"/>
      <c r="K7" s="572"/>
      <c r="L7" s="572"/>
      <c r="M7" s="572"/>
      <c r="N7" s="572"/>
      <c r="O7" s="572"/>
      <c r="P7" s="572"/>
      <c r="Q7" s="572"/>
      <c r="R7" s="572"/>
      <c r="S7" s="2" t="b">
        <f>G7='Quadro Geral'!A18</f>
        <v>1</v>
      </c>
    </row>
    <row r="8" spans="1:19" ht="54" customHeight="1" x14ac:dyDescent="0.4">
      <c r="A8" s="571" t="s">
        <v>140</v>
      </c>
      <c r="B8" s="571"/>
      <c r="C8" s="571"/>
      <c r="D8" s="571"/>
      <c r="E8" s="571"/>
      <c r="F8" s="571"/>
      <c r="G8" s="572" t="s">
        <v>651</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395</v>
      </c>
      <c r="H10" s="572"/>
      <c r="I10" s="572"/>
      <c r="J10" s="572"/>
      <c r="K10" s="572"/>
      <c r="L10" s="572"/>
      <c r="M10" s="572"/>
      <c r="N10" s="572"/>
      <c r="O10" s="572"/>
      <c r="P10" s="572"/>
      <c r="Q10" s="572"/>
      <c r="R10" s="572"/>
      <c r="S10" s="2" t="b">
        <f>G10='Quadro Geral'!E18</f>
        <v>1</v>
      </c>
    </row>
    <row r="11" spans="1:19" ht="54" customHeight="1" x14ac:dyDescent="0.4">
      <c r="A11" s="571" t="s">
        <v>154</v>
      </c>
      <c r="B11" s="571"/>
      <c r="C11" s="571"/>
      <c r="D11" s="571"/>
      <c r="E11" s="571"/>
      <c r="F11" s="571"/>
      <c r="G11" s="572" t="s">
        <v>423</v>
      </c>
      <c r="H11" s="572"/>
      <c r="I11" s="572"/>
      <c r="J11" s="572"/>
      <c r="K11" s="572"/>
      <c r="L11" s="572"/>
      <c r="M11" s="572"/>
      <c r="N11" s="572"/>
      <c r="O11" s="572"/>
      <c r="P11" s="572"/>
      <c r="Q11" s="572"/>
      <c r="R11" s="572"/>
      <c r="S11" s="2" t="b">
        <f>G11='Quadro Geral'!F18</f>
        <v>1</v>
      </c>
    </row>
    <row r="12" spans="1:19" ht="54" customHeight="1" x14ac:dyDescent="0.4">
      <c r="A12" s="571" t="s">
        <v>142</v>
      </c>
      <c r="B12" s="571"/>
      <c r="C12" s="571"/>
      <c r="D12" s="571"/>
      <c r="E12" s="571"/>
      <c r="F12" s="571"/>
      <c r="G12" s="572" t="s">
        <v>64</v>
      </c>
      <c r="H12" s="572"/>
      <c r="I12" s="572"/>
      <c r="J12" s="572"/>
      <c r="K12" s="572"/>
      <c r="L12" s="572"/>
      <c r="M12" s="572"/>
      <c r="N12" s="572"/>
      <c r="O12" s="572"/>
      <c r="P12" s="572"/>
      <c r="Q12" s="572"/>
      <c r="R12" s="572"/>
      <c r="S12" s="2" t="b">
        <f>G12='Quadro Geral'!G18</f>
        <v>1</v>
      </c>
    </row>
    <row r="13" spans="1:19" ht="54" customHeight="1" x14ac:dyDescent="0.4">
      <c r="A13" s="383" t="s">
        <v>155</v>
      </c>
      <c r="B13" s="383"/>
      <c r="C13" s="383"/>
      <c r="D13" s="383"/>
      <c r="E13" s="383"/>
      <c r="F13" s="383"/>
      <c r="G13" s="573" t="s">
        <v>451</v>
      </c>
      <c r="H13" s="573"/>
      <c r="I13" s="573"/>
      <c r="J13" s="573"/>
      <c r="K13" s="573"/>
      <c r="L13" s="573"/>
      <c r="M13" s="573"/>
      <c r="N13" s="573"/>
      <c r="O13" s="573"/>
      <c r="P13" s="573"/>
      <c r="Q13" s="573"/>
      <c r="R13" s="573"/>
      <c r="S13" s="2" t="b">
        <f>G13='Quadro Geral'!H18</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262.5" x14ac:dyDescent="0.25">
      <c r="A18" s="136">
        <v>1</v>
      </c>
      <c r="B18" s="585" t="s">
        <v>641</v>
      </c>
      <c r="C18" s="122" t="s">
        <v>571</v>
      </c>
      <c r="D18" s="122" t="s">
        <v>572</v>
      </c>
      <c r="E18" s="122" t="s">
        <v>573</v>
      </c>
      <c r="F18" s="123">
        <v>43466</v>
      </c>
      <c r="G18" s="123">
        <v>43830</v>
      </c>
      <c r="H18" s="600">
        <v>18000</v>
      </c>
      <c r="I18" s="600">
        <v>6036</v>
      </c>
      <c r="J18" s="600">
        <v>21964</v>
      </c>
      <c r="K18" s="603">
        <f>I18+J18</f>
        <v>28000</v>
      </c>
      <c r="L18" s="138">
        <f>K18-H18</f>
        <v>10000</v>
      </c>
      <c r="M18" s="124">
        <f>IFERROR(L18/H18*100,0)</f>
        <v>55.555555555555557</v>
      </c>
      <c r="N18" s="124">
        <f>IFERROR(K18/$K$20*100,0)</f>
        <v>100</v>
      </c>
      <c r="O18" s="124" t="s">
        <v>165</v>
      </c>
      <c r="P18" s="167"/>
      <c r="Q18" s="171">
        <f>IFERROR(P18/K18*100,)</f>
        <v>0</v>
      </c>
      <c r="R18" s="122" t="s">
        <v>651</v>
      </c>
      <c r="AN18" s="2" t="s">
        <v>237</v>
      </c>
    </row>
    <row r="19" spans="1:40" ht="409.5" x14ac:dyDescent="0.25">
      <c r="A19" s="136">
        <v>2</v>
      </c>
      <c r="B19" s="587"/>
      <c r="C19" s="122" t="s">
        <v>574</v>
      </c>
      <c r="D19" s="122" t="s">
        <v>575</v>
      </c>
      <c r="E19" s="122" t="s">
        <v>576</v>
      </c>
      <c r="F19" s="123">
        <v>43466</v>
      </c>
      <c r="G19" s="123">
        <v>43830</v>
      </c>
      <c r="H19" s="602"/>
      <c r="I19" s="602"/>
      <c r="J19" s="602"/>
      <c r="K19" s="605"/>
      <c r="L19" s="138">
        <f t="shared" ref="L19:L20" si="0">K19-H19</f>
        <v>0</v>
      </c>
      <c r="M19" s="124">
        <f t="shared" ref="M19" si="1">IFERROR(L19/H19*100,0)</f>
        <v>0</v>
      </c>
      <c r="N19" s="124">
        <f>IFERROR(K19/$K$20*100,0)</f>
        <v>0</v>
      </c>
      <c r="O19" s="124" t="s">
        <v>165</v>
      </c>
      <c r="P19" s="167"/>
      <c r="Q19" s="171">
        <f t="shared" ref="Q19" si="2">IFERROR(P19/K19*100,)</f>
        <v>0</v>
      </c>
      <c r="R19" s="122" t="s">
        <v>651</v>
      </c>
    </row>
    <row r="20" spans="1:40" s="3" customFormat="1" ht="24.75" customHeight="1" x14ac:dyDescent="0.4">
      <c r="A20" s="597" t="s">
        <v>3</v>
      </c>
      <c r="B20" s="598"/>
      <c r="C20" s="598"/>
      <c r="D20" s="598"/>
      <c r="E20" s="598"/>
      <c r="F20" s="598"/>
      <c r="G20" s="599"/>
      <c r="H20" s="139">
        <f>SUM(H18:H19)</f>
        <v>18000</v>
      </c>
      <c r="I20" s="139">
        <f>SUM(I18:I19)</f>
        <v>6036</v>
      </c>
      <c r="J20" s="139">
        <f>SUM(J18:J19)</f>
        <v>21964</v>
      </c>
      <c r="K20" s="139">
        <f>SUM(K18:K19)</f>
        <v>28000</v>
      </c>
      <c r="L20" s="169">
        <f t="shared" si="0"/>
        <v>10000</v>
      </c>
      <c r="M20" s="170">
        <f>IFERROR(L20/H20*100,0)</f>
        <v>55.555555555555557</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s="3" customFormat="1" ht="24.75" customHeight="1" x14ac:dyDescent="0.4">
      <c r="A22" s="298"/>
      <c r="B22" s="298"/>
      <c r="C22" s="298"/>
      <c r="D22" s="298"/>
      <c r="E22" s="298"/>
      <c r="F22" s="298"/>
      <c r="G22" s="298"/>
      <c r="H22" s="307"/>
      <c r="I22" s="362"/>
      <c r="J22" s="363"/>
      <c r="K22" s="307"/>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50">
    <mergeCell ref="A12:F12"/>
    <mergeCell ref="G12:R12"/>
    <mergeCell ref="H18:H19"/>
    <mergeCell ref="I18:I19"/>
    <mergeCell ref="J18:J19"/>
    <mergeCell ref="K18:K19"/>
    <mergeCell ref="B18:B19"/>
    <mergeCell ref="R15:R17"/>
    <mergeCell ref="H16:H17"/>
    <mergeCell ref="C15:E15"/>
    <mergeCell ref="F15:G15"/>
    <mergeCell ref="H15:K15"/>
    <mergeCell ref="A13:F13"/>
    <mergeCell ref="G13:R13"/>
    <mergeCell ref="A14:R14"/>
    <mergeCell ref="C29:F29"/>
    <mergeCell ref="C30:F30"/>
    <mergeCell ref="A23:R23"/>
    <mergeCell ref="A24:R24"/>
    <mergeCell ref="A25:R25"/>
    <mergeCell ref="A26:F26"/>
    <mergeCell ref="C27:F27"/>
    <mergeCell ref="C28:F28"/>
    <mergeCell ref="A20:G20"/>
    <mergeCell ref="L15:M15"/>
    <mergeCell ref="N15:N17"/>
    <mergeCell ref="O15:O17"/>
    <mergeCell ref="P15:Q15"/>
    <mergeCell ref="A15:A17"/>
    <mergeCell ref="B15:B17"/>
    <mergeCell ref="I16:K16"/>
    <mergeCell ref="L16:L17"/>
    <mergeCell ref="M16:M17"/>
    <mergeCell ref="P16:P17"/>
    <mergeCell ref="Q16:Q17"/>
    <mergeCell ref="C16:C17"/>
    <mergeCell ref="D16:E16"/>
    <mergeCell ref="F16:F17"/>
    <mergeCell ref="G16:G17"/>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2"/>
  <sheetViews>
    <sheetView showGridLines="0" topLeftCell="A13" zoomScale="40" zoomScaleNormal="40" zoomScaleSheetLayoutView="80" workbookViewId="0">
      <selection activeCell="H22" sqref="H22:K23"/>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378</v>
      </c>
      <c r="H7" s="572"/>
      <c r="I7" s="572"/>
      <c r="J7" s="572"/>
      <c r="K7" s="572"/>
      <c r="L7" s="572"/>
      <c r="M7" s="572"/>
      <c r="N7" s="572"/>
      <c r="O7" s="572"/>
      <c r="P7" s="572"/>
      <c r="Q7" s="572"/>
      <c r="R7" s="572"/>
      <c r="S7" s="2" t="b">
        <f>G7='Quadro Geral'!A19</f>
        <v>1</v>
      </c>
    </row>
    <row r="8" spans="1:19" ht="54" customHeight="1" x14ac:dyDescent="0.4">
      <c r="A8" s="571" t="s">
        <v>140</v>
      </c>
      <c r="B8" s="571"/>
      <c r="C8" s="571"/>
      <c r="D8" s="571"/>
      <c r="E8" s="571"/>
      <c r="F8" s="571"/>
      <c r="G8" s="572" t="s">
        <v>652</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396</v>
      </c>
      <c r="H10" s="572"/>
      <c r="I10" s="572"/>
      <c r="J10" s="572"/>
      <c r="K10" s="572"/>
      <c r="L10" s="572"/>
      <c r="M10" s="572"/>
      <c r="N10" s="572"/>
      <c r="O10" s="572"/>
      <c r="P10" s="572"/>
      <c r="Q10" s="572"/>
      <c r="R10" s="572"/>
      <c r="S10" s="2" t="b">
        <f>G10='Quadro Geral'!E19</f>
        <v>1</v>
      </c>
    </row>
    <row r="11" spans="1:19" ht="54" customHeight="1" x14ac:dyDescent="0.4">
      <c r="A11" s="571" t="s">
        <v>154</v>
      </c>
      <c r="B11" s="571"/>
      <c r="C11" s="571"/>
      <c r="D11" s="571"/>
      <c r="E11" s="571"/>
      <c r="F11" s="571"/>
      <c r="G11" s="572" t="s">
        <v>424</v>
      </c>
      <c r="H11" s="572"/>
      <c r="I11" s="572"/>
      <c r="J11" s="572"/>
      <c r="K11" s="572"/>
      <c r="L11" s="572"/>
      <c r="M11" s="572"/>
      <c r="N11" s="572"/>
      <c r="O11" s="572"/>
      <c r="P11" s="572"/>
      <c r="Q11" s="572"/>
      <c r="R11" s="572"/>
      <c r="S11" s="2" t="b">
        <f>G11='Quadro Geral'!F19</f>
        <v>1</v>
      </c>
    </row>
    <row r="12" spans="1:19" ht="54" customHeight="1" x14ac:dyDescent="0.4">
      <c r="A12" s="571" t="s">
        <v>142</v>
      </c>
      <c r="B12" s="571"/>
      <c r="C12" s="571"/>
      <c r="D12" s="571"/>
      <c r="E12" s="571"/>
      <c r="F12" s="571"/>
      <c r="G12" s="572" t="s">
        <v>56</v>
      </c>
      <c r="H12" s="572"/>
      <c r="I12" s="572"/>
      <c r="J12" s="572"/>
      <c r="K12" s="572"/>
      <c r="L12" s="572"/>
      <c r="M12" s="572"/>
      <c r="N12" s="572"/>
      <c r="O12" s="572"/>
      <c r="P12" s="572"/>
      <c r="Q12" s="572"/>
      <c r="R12" s="572"/>
      <c r="S12" s="2" t="b">
        <f>G12='Quadro Geral'!G19</f>
        <v>1</v>
      </c>
    </row>
    <row r="13" spans="1:19" ht="54" customHeight="1" x14ac:dyDescent="0.4">
      <c r="A13" s="383" t="s">
        <v>155</v>
      </c>
      <c r="B13" s="383"/>
      <c r="C13" s="383"/>
      <c r="D13" s="383"/>
      <c r="E13" s="383"/>
      <c r="F13" s="383"/>
      <c r="G13" s="573" t="s">
        <v>452</v>
      </c>
      <c r="H13" s="573"/>
      <c r="I13" s="573"/>
      <c r="J13" s="573"/>
      <c r="K13" s="573"/>
      <c r="L13" s="573"/>
      <c r="M13" s="573"/>
      <c r="N13" s="573"/>
      <c r="O13" s="573"/>
      <c r="P13" s="573"/>
      <c r="Q13" s="573"/>
      <c r="R13" s="573"/>
      <c r="S13" s="2" t="b">
        <f>G13='Quadro Geral'!H19</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262.5" x14ac:dyDescent="0.25">
      <c r="A18" s="136">
        <v>1</v>
      </c>
      <c r="B18" s="585" t="s">
        <v>641</v>
      </c>
      <c r="C18" s="122" t="s">
        <v>577</v>
      </c>
      <c r="D18" s="122" t="s">
        <v>578</v>
      </c>
      <c r="E18" s="122" t="s">
        <v>579</v>
      </c>
      <c r="F18" s="123">
        <v>43466</v>
      </c>
      <c r="G18" s="123">
        <v>43830</v>
      </c>
      <c r="H18" s="600">
        <v>28500</v>
      </c>
      <c r="I18" s="600">
        <v>12138</v>
      </c>
      <c r="J18" s="600">
        <v>21362</v>
      </c>
      <c r="K18" s="603">
        <f>I18+J18</f>
        <v>33500</v>
      </c>
      <c r="L18" s="138">
        <f>K18-H18</f>
        <v>5000</v>
      </c>
      <c r="M18" s="124">
        <f>IFERROR(L18/H18*100,0)</f>
        <v>17.543859649122805</v>
      </c>
      <c r="N18" s="124">
        <f>IFERROR(K18/$K$21*100,0)</f>
        <v>100</v>
      </c>
      <c r="O18" s="124" t="s">
        <v>165</v>
      </c>
      <c r="P18" s="167"/>
      <c r="Q18" s="171">
        <f>IFERROR(P18/K18*100,)</f>
        <v>0</v>
      </c>
      <c r="R18" s="122" t="s">
        <v>652</v>
      </c>
      <c r="AN18" s="2" t="s">
        <v>237</v>
      </c>
    </row>
    <row r="19" spans="1:40" ht="210" x14ac:dyDescent="0.25">
      <c r="A19" s="136">
        <v>2</v>
      </c>
      <c r="B19" s="586"/>
      <c r="C19" s="122" t="s">
        <v>580</v>
      </c>
      <c r="D19" s="122" t="s">
        <v>581</v>
      </c>
      <c r="E19" s="122" t="s">
        <v>582</v>
      </c>
      <c r="F19" s="123">
        <v>43466</v>
      </c>
      <c r="G19" s="123">
        <v>43830</v>
      </c>
      <c r="H19" s="601"/>
      <c r="I19" s="601"/>
      <c r="J19" s="601"/>
      <c r="K19" s="604"/>
      <c r="L19" s="138">
        <f t="shared" ref="L19:L21" si="0">K19-H19</f>
        <v>0</v>
      </c>
      <c r="M19" s="124">
        <f t="shared" ref="M19:M20" si="1">IFERROR(L19/H19*100,0)</f>
        <v>0</v>
      </c>
      <c r="N19" s="124">
        <f>IFERROR(K19/$K$21*100,0)</f>
        <v>0</v>
      </c>
      <c r="O19" s="124" t="s">
        <v>165</v>
      </c>
      <c r="P19" s="167"/>
      <c r="Q19" s="171">
        <f t="shared" ref="Q19:Q20" si="2">IFERROR(P19/K19*100,)</f>
        <v>0</v>
      </c>
      <c r="R19" s="122" t="s">
        <v>652</v>
      </c>
    </row>
    <row r="20" spans="1:40" ht="183.75" x14ac:dyDescent="0.25">
      <c r="A20" s="136">
        <v>3</v>
      </c>
      <c r="B20" s="587"/>
      <c r="C20" s="122" t="s">
        <v>583</v>
      </c>
      <c r="D20" s="122" t="s">
        <v>584</v>
      </c>
      <c r="E20" s="122" t="s">
        <v>585</v>
      </c>
      <c r="F20" s="123">
        <v>43466</v>
      </c>
      <c r="G20" s="123">
        <v>43830</v>
      </c>
      <c r="H20" s="602"/>
      <c r="I20" s="602"/>
      <c r="J20" s="602"/>
      <c r="K20" s="605"/>
      <c r="L20" s="138">
        <f t="shared" si="0"/>
        <v>0</v>
      </c>
      <c r="M20" s="124">
        <f t="shared" si="1"/>
        <v>0</v>
      </c>
      <c r="N20" s="124">
        <f>IFERROR(K20/$K$21*100,0)</f>
        <v>0</v>
      </c>
      <c r="O20" s="124" t="s">
        <v>165</v>
      </c>
      <c r="P20" s="167"/>
      <c r="Q20" s="171">
        <f t="shared" si="2"/>
        <v>0</v>
      </c>
      <c r="R20" s="122" t="s">
        <v>652</v>
      </c>
    </row>
    <row r="21" spans="1:40" s="3" customFormat="1" ht="24.75" customHeight="1" x14ac:dyDescent="0.4">
      <c r="A21" s="597" t="s">
        <v>3</v>
      </c>
      <c r="B21" s="598"/>
      <c r="C21" s="598"/>
      <c r="D21" s="598"/>
      <c r="E21" s="598"/>
      <c r="F21" s="598"/>
      <c r="G21" s="599"/>
      <c r="H21" s="139">
        <f>SUM(H18:H20)</f>
        <v>28500</v>
      </c>
      <c r="I21" s="139">
        <f>SUM(I18:I20)</f>
        <v>12138</v>
      </c>
      <c r="J21" s="139">
        <f>SUM(J18:J20)</f>
        <v>21362</v>
      </c>
      <c r="K21" s="139">
        <f>SUM(K18:K20)</f>
        <v>33500</v>
      </c>
      <c r="L21" s="169">
        <f t="shared" si="0"/>
        <v>5000</v>
      </c>
      <c r="M21" s="170">
        <f>IFERROR(L21/H21*100,0)</f>
        <v>17.543859649122805</v>
      </c>
      <c r="N21" s="170">
        <f>SUM(N18:N20)</f>
        <v>100</v>
      </c>
      <c r="O21" s="170"/>
      <c r="P21" s="168">
        <f>SUM(P18:P20)</f>
        <v>0</v>
      </c>
      <c r="Q21" s="140">
        <f>IFERROR(P21/K21*100,)</f>
        <v>0</v>
      </c>
      <c r="R21" s="140"/>
    </row>
    <row r="22" spans="1:40" s="3" customFormat="1" ht="24.75" customHeight="1" x14ac:dyDescent="0.4">
      <c r="A22" s="298"/>
      <c r="B22" s="298"/>
      <c r="C22" s="298"/>
      <c r="D22" s="298"/>
      <c r="E22" s="298"/>
      <c r="F22" s="298"/>
      <c r="G22" s="298"/>
      <c r="H22" s="307"/>
      <c r="I22" s="307"/>
      <c r="J22" s="307"/>
      <c r="K22" s="307"/>
      <c r="L22" s="299"/>
      <c r="M22" s="300"/>
      <c r="N22" s="300"/>
      <c r="O22" s="300"/>
      <c r="P22" s="301"/>
      <c r="Q22" s="302"/>
      <c r="R22" s="302"/>
    </row>
    <row r="23" spans="1:40" s="3" customFormat="1" ht="24.75" customHeight="1" x14ac:dyDescent="0.4">
      <c r="A23" s="298"/>
      <c r="B23" s="298"/>
      <c r="C23" s="298"/>
      <c r="D23" s="298"/>
      <c r="E23" s="298"/>
      <c r="F23" s="298"/>
      <c r="G23" s="298"/>
      <c r="H23" s="307"/>
      <c r="I23" s="362"/>
      <c r="J23" s="362"/>
      <c r="K23" s="307"/>
      <c r="L23" s="299"/>
      <c r="M23" s="300"/>
      <c r="N23" s="300"/>
      <c r="O23" s="300"/>
      <c r="P23" s="301"/>
      <c r="Q23" s="302"/>
      <c r="R23" s="302"/>
    </row>
    <row r="24" spans="1:40" x14ac:dyDescent="0.4">
      <c r="A24" s="589" t="s">
        <v>116</v>
      </c>
      <c r="B24" s="589"/>
      <c r="C24" s="589"/>
      <c r="D24" s="589"/>
      <c r="E24" s="589"/>
      <c r="F24" s="589"/>
      <c r="G24" s="589"/>
      <c r="H24" s="589"/>
      <c r="I24" s="589"/>
      <c r="J24" s="589"/>
      <c r="K24" s="589"/>
      <c r="L24" s="589"/>
      <c r="M24" s="589"/>
      <c r="N24" s="589"/>
      <c r="O24" s="589"/>
      <c r="P24" s="589"/>
      <c r="Q24" s="589"/>
      <c r="R24" s="589"/>
    </row>
    <row r="25" spans="1:40" ht="36" customHeight="1" x14ac:dyDescent="0.25">
      <c r="A25" s="590" t="s">
        <v>179</v>
      </c>
      <c r="B25" s="591"/>
      <c r="C25" s="591"/>
      <c r="D25" s="591"/>
      <c r="E25" s="591"/>
      <c r="F25" s="591"/>
      <c r="G25" s="591"/>
      <c r="H25" s="591"/>
      <c r="I25" s="591"/>
      <c r="J25" s="591"/>
      <c r="K25" s="591"/>
      <c r="L25" s="591"/>
      <c r="M25" s="591"/>
      <c r="N25" s="591"/>
      <c r="O25" s="591"/>
      <c r="P25" s="591"/>
      <c r="Q25" s="591"/>
      <c r="R25" s="592"/>
    </row>
    <row r="26" spans="1:40" ht="95.25" customHeight="1" x14ac:dyDescent="0.4">
      <c r="A26" s="593"/>
      <c r="B26" s="594"/>
      <c r="C26" s="594"/>
      <c r="D26" s="594"/>
      <c r="E26" s="594"/>
      <c r="F26" s="594"/>
      <c r="G26" s="594"/>
      <c r="H26" s="594"/>
      <c r="I26" s="594"/>
      <c r="J26" s="594"/>
      <c r="K26" s="594"/>
      <c r="L26" s="594"/>
      <c r="M26" s="594"/>
      <c r="N26" s="594"/>
      <c r="O26" s="594"/>
      <c r="P26" s="594"/>
      <c r="Q26" s="594"/>
      <c r="R26" s="595"/>
    </row>
    <row r="27" spans="1:40" ht="15" hidden="1" customHeight="1" x14ac:dyDescent="0.4">
      <c r="A27" s="596" t="s">
        <v>12</v>
      </c>
      <c r="B27" s="596"/>
      <c r="C27" s="596"/>
      <c r="D27" s="596"/>
      <c r="E27" s="596"/>
      <c r="F27" s="596"/>
      <c r="G27" s="141"/>
      <c r="H27" s="141"/>
      <c r="I27" s="141"/>
      <c r="J27" s="141"/>
      <c r="K27" s="141"/>
      <c r="L27" s="141"/>
      <c r="M27" s="141"/>
      <c r="N27" s="141"/>
      <c r="O27" s="141"/>
      <c r="P27" s="141"/>
      <c r="Q27" s="141"/>
      <c r="R27" s="141"/>
    </row>
    <row r="28" spans="1:40" ht="15" hidden="1" customHeight="1" x14ac:dyDescent="0.4">
      <c r="A28" s="142" t="s">
        <v>16</v>
      </c>
      <c r="B28" s="142"/>
      <c r="C28" s="588" t="s">
        <v>20</v>
      </c>
      <c r="D28" s="588"/>
      <c r="E28" s="588"/>
      <c r="F28" s="588"/>
      <c r="P28" s="77"/>
      <c r="Q28" s="77"/>
      <c r="R28" s="77"/>
    </row>
    <row r="29" spans="1:40" ht="15" hidden="1" customHeight="1" x14ac:dyDescent="0.4">
      <c r="A29" s="142" t="s">
        <v>17</v>
      </c>
      <c r="B29" s="142"/>
      <c r="C29" s="588" t="s">
        <v>13</v>
      </c>
      <c r="D29" s="588"/>
      <c r="E29" s="588"/>
      <c r="F29" s="588"/>
      <c r="P29" s="77"/>
      <c r="Q29" s="77"/>
      <c r="R29" s="77"/>
    </row>
    <row r="30" spans="1:40" ht="15" hidden="1" customHeight="1" x14ac:dyDescent="0.4">
      <c r="A30" s="142" t="s">
        <v>18</v>
      </c>
      <c r="B30" s="142"/>
      <c r="C30" s="588" t="s">
        <v>14</v>
      </c>
      <c r="D30" s="588"/>
      <c r="E30" s="588"/>
      <c r="F30" s="588"/>
      <c r="P30" s="77"/>
      <c r="Q30" s="77"/>
      <c r="R30" s="77"/>
    </row>
    <row r="31" spans="1:40" ht="15" hidden="1" customHeight="1" x14ac:dyDescent="0.4">
      <c r="A31" s="142" t="s">
        <v>19</v>
      </c>
      <c r="B31" s="142"/>
      <c r="C31" s="588" t="s">
        <v>15</v>
      </c>
      <c r="D31" s="588"/>
      <c r="E31" s="588"/>
      <c r="F31" s="588"/>
      <c r="P31" s="77"/>
      <c r="Q31" s="77"/>
      <c r="R31" s="77"/>
    </row>
    <row r="32" spans="1:40" ht="35.25" customHeight="1" x14ac:dyDescent="0.4"/>
  </sheetData>
  <sheetProtection formatCells="0" formatRows="0" insertRows="0" deleteRows="0"/>
  <mergeCells count="50">
    <mergeCell ref="A12:F12"/>
    <mergeCell ref="G12:R12"/>
    <mergeCell ref="H18:H20"/>
    <mergeCell ref="I18:I20"/>
    <mergeCell ref="J18:J20"/>
    <mergeCell ref="K18:K20"/>
    <mergeCell ref="B18:B20"/>
    <mergeCell ref="R15:R17"/>
    <mergeCell ref="H16:H17"/>
    <mergeCell ref="C15:E15"/>
    <mergeCell ref="F15:G15"/>
    <mergeCell ref="H15:K15"/>
    <mergeCell ref="A13:F13"/>
    <mergeCell ref="G13:R13"/>
    <mergeCell ref="A14:R14"/>
    <mergeCell ref="C30:F30"/>
    <mergeCell ref="C31:F31"/>
    <mergeCell ref="A24:R24"/>
    <mergeCell ref="A25:R25"/>
    <mergeCell ref="A26:R26"/>
    <mergeCell ref="A27:F27"/>
    <mergeCell ref="C28:F28"/>
    <mergeCell ref="C29:F29"/>
    <mergeCell ref="A21:G21"/>
    <mergeCell ref="L15:M15"/>
    <mergeCell ref="N15:N17"/>
    <mergeCell ref="O15:O17"/>
    <mergeCell ref="P15:Q15"/>
    <mergeCell ref="A15:A17"/>
    <mergeCell ref="B15:B17"/>
    <mergeCell ref="I16:K16"/>
    <mergeCell ref="L16:L17"/>
    <mergeCell ref="M16:M17"/>
    <mergeCell ref="P16:P17"/>
    <mergeCell ref="Q16:Q17"/>
    <mergeCell ref="C16:C17"/>
    <mergeCell ref="D16:E16"/>
    <mergeCell ref="F16:F17"/>
    <mergeCell ref="G16:G17"/>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0">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topLeftCell="A7" zoomScale="40" zoomScaleNormal="40" zoomScaleSheetLayoutView="80" workbookViewId="0">
      <selection activeCell="H20" sqref="H20:J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379</v>
      </c>
      <c r="H7" s="572"/>
      <c r="I7" s="572"/>
      <c r="J7" s="572"/>
      <c r="K7" s="572"/>
      <c r="L7" s="572"/>
      <c r="M7" s="572"/>
      <c r="N7" s="572"/>
      <c r="O7" s="572"/>
      <c r="P7" s="572"/>
      <c r="Q7" s="572"/>
      <c r="R7" s="572"/>
      <c r="S7" s="2" t="b">
        <f>G7='Quadro Geral'!A20</f>
        <v>1</v>
      </c>
    </row>
    <row r="8" spans="1:19" ht="54" customHeight="1" x14ac:dyDescent="0.4">
      <c r="A8" s="571" t="s">
        <v>140</v>
      </c>
      <c r="B8" s="571"/>
      <c r="C8" s="571"/>
      <c r="D8" s="571"/>
      <c r="E8" s="571"/>
      <c r="F8" s="571"/>
      <c r="G8" s="572" t="s">
        <v>642</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397</v>
      </c>
      <c r="H10" s="572"/>
      <c r="I10" s="572"/>
      <c r="J10" s="572"/>
      <c r="K10" s="572"/>
      <c r="L10" s="572"/>
      <c r="M10" s="572"/>
      <c r="N10" s="572"/>
      <c r="O10" s="572"/>
      <c r="P10" s="572"/>
      <c r="Q10" s="572"/>
      <c r="R10" s="572"/>
      <c r="S10" s="2" t="b">
        <f>G10='Quadro Geral'!E20</f>
        <v>1</v>
      </c>
    </row>
    <row r="11" spans="1:19" ht="54" customHeight="1" x14ac:dyDescent="0.4">
      <c r="A11" s="571" t="s">
        <v>154</v>
      </c>
      <c r="B11" s="571"/>
      <c r="C11" s="571"/>
      <c r="D11" s="571"/>
      <c r="E11" s="571"/>
      <c r="F11" s="571"/>
      <c r="G11" s="572" t="s">
        <v>425</v>
      </c>
      <c r="H11" s="572"/>
      <c r="I11" s="572"/>
      <c r="J11" s="572"/>
      <c r="K11" s="572"/>
      <c r="L11" s="572"/>
      <c r="M11" s="572"/>
      <c r="N11" s="572"/>
      <c r="O11" s="572"/>
      <c r="P11" s="572"/>
      <c r="Q11" s="572"/>
      <c r="R11" s="572"/>
      <c r="S11" s="2" t="b">
        <f>G11='Quadro Geral'!F20</f>
        <v>1</v>
      </c>
    </row>
    <row r="12" spans="1:19" ht="54" customHeight="1" x14ac:dyDescent="0.4">
      <c r="A12" s="571" t="s">
        <v>142</v>
      </c>
      <c r="B12" s="571"/>
      <c r="C12" s="571"/>
      <c r="D12" s="571"/>
      <c r="E12" s="571"/>
      <c r="F12" s="571"/>
      <c r="G12" s="572" t="s">
        <v>73</v>
      </c>
      <c r="H12" s="572"/>
      <c r="I12" s="572"/>
      <c r="J12" s="572"/>
      <c r="K12" s="572"/>
      <c r="L12" s="572"/>
      <c r="M12" s="572"/>
      <c r="N12" s="572"/>
      <c r="O12" s="572"/>
      <c r="P12" s="572"/>
      <c r="Q12" s="572"/>
      <c r="R12" s="572"/>
      <c r="S12" s="2" t="b">
        <f>G12='Quadro Geral'!G20</f>
        <v>1</v>
      </c>
    </row>
    <row r="13" spans="1:19" ht="54" customHeight="1" x14ac:dyDescent="0.4">
      <c r="A13" s="383" t="s">
        <v>155</v>
      </c>
      <c r="B13" s="383"/>
      <c r="C13" s="383"/>
      <c r="D13" s="383"/>
      <c r="E13" s="383"/>
      <c r="F13" s="383"/>
      <c r="G13" s="573" t="s">
        <v>453</v>
      </c>
      <c r="H13" s="573"/>
      <c r="I13" s="573"/>
      <c r="J13" s="573"/>
      <c r="K13" s="573"/>
      <c r="L13" s="573"/>
      <c r="M13" s="573"/>
      <c r="N13" s="573"/>
      <c r="O13" s="573"/>
      <c r="P13" s="573"/>
      <c r="Q13" s="573"/>
      <c r="R13" s="573"/>
      <c r="S13" s="2" t="b">
        <f>G13='Quadro Geral'!H20</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326.25" customHeight="1" x14ac:dyDescent="0.25">
      <c r="A18" s="136">
        <v>1</v>
      </c>
      <c r="B18" s="136" t="s">
        <v>641</v>
      </c>
      <c r="C18" s="122" t="s">
        <v>586</v>
      </c>
      <c r="D18" s="122" t="s">
        <v>587</v>
      </c>
      <c r="E18" s="122" t="s">
        <v>588</v>
      </c>
      <c r="F18" s="123">
        <v>43466</v>
      </c>
      <c r="G18" s="123">
        <v>43830</v>
      </c>
      <c r="H18" s="137">
        <v>80000</v>
      </c>
      <c r="I18" s="137">
        <v>37755</v>
      </c>
      <c r="J18" s="137">
        <v>52245</v>
      </c>
      <c r="K18" s="220">
        <f>I18+J18</f>
        <v>90000</v>
      </c>
      <c r="L18" s="138">
        <f>K18-H18</f>
        <v>10000</v>
      </c>
      <c r="M18" s="124">
        <f>IFERROR(L18/H18*100,0)</f>
        <v>12.5</v>
      </c>
      <c r="N18" s="124">
        <f>IFERROR(K18/$K$19*100,0)</f>
        <v>100</v>
      </c>
      <c r="O18" s="124" t="s">
        <v>165</v>
      </c>
      <c r="P18" s="167"/>
      <c r="Q18" s="171">
        <f>IFERROR(P18/K18*100,)</f>
        <v>0</v>
      </c>
      <c r="R18" s="122" t="s">
        <v>642</v>
      </c>
      <c r="AN18" s="2" t="s">
        <v>237</v>
      </c>
    </row>
    <row r="19" spans="1:40" s="3" customFormat="1" ht="24.75" customHeight="1" x14ac:dyDescent="0.4">
      <c r="A19" s="597" t="s">
        <v>3</v>
      </c>
      <c r="B19" s="598"/>
      <c r="C19" s="598"/>
      <c r="D19" s="598"/>
      <c r="E19" s="598"/>
      <c r="F19" s="598"/>
      <c r="G19" s="599"/>
      <c r="H19" s="139">
        <f>SUM(H18:H18)</f>
        <v>80000</v>
      </c>
      <c r="I19" s="139">
        <f>SUM(I18:I18)</f>
        <v>37755</v>
      </c>
      <c r="J19" s="139">
        <f>SUM(J18:J18)</f>
        <v>52245</v>
      </c>
      <c r="K19" s="139">
        <f>SUM(K18:K18)</f>
        <v>90000</v>
      </c>
      <c r="L19" s="169">
        <f t="shared" ref="L19" si="0">K19-H19</f>
        <v>10000</v>
      </c>
      <c r="M19" s="170">
        <f>IFERROR(L19/H19*100,0)</f>
        <v>12.5</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f>'Quadro Geral'!L20</f>
        <v>90000.37</v>
      </c>
      <c r="L20" s="299"/>
      <c r="M20" s="300"/>
      <c r="N20" s="300"/>
      <c r="O20" s="300"/>
      <c r="P20" s="301"/>
      <c r="Q20" s="302"/>
      <c r="R20" s="302"/>
    </row>
    <row r="21" spans="1:40" s="3" customFormat="1" ht="24.75" customHeight="1" x14ac:dyDescent="0.4">
      <c r="A21" s="298"/>
      <c r="B21" s="298"/>
      <c r="C21" s="298"/>
      <c r="D21" s="298"/>
      <c r="E21" s="298"/>
      <c r="F21" s="298"/>
      <c r="G21" s="298"/>
      <c r="H21" s="307"/>
      <c r="I21" s="362"/>
      <c r="J21" s="362"/>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19:G19"/>
    <mergeCell ref="L15:M15"/>
    <mergeCell ref="N15:N17"/>
    <mergeCell ref="O15:O17"/>
    <mergeCell ref="P15:Q15"/>
    <mergeCell ref="A15:A17"/>
    <mergeCell ref="B15:B17"/>
    <mergeCell ref="I16:K16"/>
    <mergeCell ref="L16:L17"/>
    <mergeCell ref="M16:M17"/>
    <mergeCell ref="P16:P17"/>
    <mergeCell ref="Q16:Q17"/>
    <mergeCell ref="C28:F28"/>
    <mergeCell ref="C29:F29"/>
    <mergeCell ref="A22:R22"/>
    <mergeCell ref="A23:R23"/>
    <mergeCell ref="A24:R24"/>
    <mergeCell ref="A25:F25"/>
    <mergeCell ref="C26:F26"/>
    <mergeCell ref="C27:F27"/>
    <mergeCell ref="R15:R17"/>
    <mergeCell ref="C16:C17"/>
    <mergeCell ref="D16:E16"/>
    <mergeCell ref="F16:F17"/>
    <mergeCell ref="G16:G17"/>
    <mergeCell ref="H16:H17"/>
    <mergeCell ref="C15:E15"/>
    <mergeCell ref="F15:G15"/>
    <mergeCell ref="H15:K15"/>
    <mergeCell ref="A13:F13"/>
    <mergeCell ref="G13:R13"/>
    <mergeCell ref="A14:R14"/>
    <mergeCell ref="A9:F9"/>
    <mergeCell ref="G9:R9"/>
    <mergeCell ref="A10:F10"/>
    <mergeCell ref="G10:R10"/>
    <mergeCell ref="A11:F11"/>
    <mergeCell ref="G11:R11"/>
    <mergeCell ref="A12:F12"/>
    <mergeCell ref="G12:R12"/>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H20" sqref="H20:K20"/>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369</v>
      </c>
      <c r="H7" s="572"/>
      <c r="I7" s="572"/>
      <c r="J7" s="572"/>
      <c r="K7" s="572"/>
      <c r="L7" s="572"/>
      <c r="M7" s="572"/>
      <c r="N7" s="572"/>
      <c r="O7" s="572"/>
      <c r="P7" s="572"/>
      <c r="Q7" s="572"/>
      <c r="R7" s="572"/>
      <c r="S7" s="2" t="b">
        <f>G7='Quadro Geral'!A22</f>
        <v>1</v>
      </c>
    </row>
    <row r="8" spans="1:19" ht="54" customHeight="1" x14ac:dyDescent="0.4">
      <c r="A8" s="571" t="s">
        <v>140</v>
      </c>
      <c r="B8" s="571"/>
      <c r="C8" s="571"/>
      <c r="D8" s="571"/>
      <c r="E8" s="571"/>
      <c r="F8" s="571"/>
      <c r="G8" s="572" t="s">
        <v>644</v>
      </c>
      <c r="H8" s="572"/>
      <c r="I8" s="572"/>
      <c r="J8" s="572"/>
      <c r="K8" s="572"/>
      <c r="L8" s="572"/>
      <c r="M8" s="572"/>
      <c r="N8" s="572"/>
      <c r="O8" s="572"/>
      <c r="P8" s="572"/>
      <c r="Q8" s="572"/>
      <c r="R8" s="572"/>
    </row>
    <row r="9" spans="1:19" ht="54" customHeight="1" x14ac:dyDescent="0.4">
      <c r="A9" s="571" t="s">
        <v>153</v>
      </c>
      <c r="B9" s="571"/>
      <c r="C9" s="571"/>
      <c r="D9" s="571"/>
      <c r="E9" s="571"/>
      <c r="F9" s="571"/>
      <c r="G9" s="572" t="s">
        <v>639</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399</v>
      </c>
      <c r="H10" s="572"/>
      <c r="I10" s="572"/>
      <c r="J10" s="572"/>
      <c r="K10" s="572"/>
      <c r="L10" s="572"/>
      <c r="M10" s="572"/>
      <c r="N10" s="572"/>
      <c r="O10" s="572"/>
      <c r="P10" s="572"/>
      <c r="Q10" s="572"/>
      <c r="R10" s="572"/>
      <c r="S10" s="2" t="b">
        <f>G10='Quadro Geral'!E22</f>
        <v>1</v>
      </c>
    </row>
    <row r="11" spans="1:19" ht="54" customHeight="1" x14ac:dyDescent="0.4">
      <c r="A11" s="571" t="s">
        <v>154</v>
      </c>
      <c r="B11" s="571"/>
      <c r="C11" s="571"/>
      <c r="D11" s="571"/>
      <c r="E11" s="571"/>
      <c r="F11" s="571"/>
      <c r="G11" s="572" t="s">
        <v>427</v>
      </c>
      <c r="H11" s="572"/>
      <c r="I11" s="572"/>
      <c r="J11" s="572"/>
      <c r="K11" s="572"/>
      <c r="L11" s="572"/>
      <c r="M11" s="572"/>
      <c r="N11" s="572"/>
      <c r="O11" s="572"/>
      <c r="P11" s="572"/>
      <c r="Q11" s="572"/>
      <c r="R11" s="572"/>
      <c r="S11" s="2" t="b">
        <f>G11='Quadro Geral'!F22</f>
        <v>1</v>
      </c>
    </row>
    <row r="12" spans="1:19" ht="54" customHeight="1" x14ac:dyDescent="0.4">
      <c r="A12" s="571" t="s">
        <v>142</v>
      </c>
      <c r="B12" s="571"/>
      <c r="C12" s="571"/>
      <c r="D12" s="571"/>
      <c r="E12" s="571"/>
      <c r="F12" s="571"/>
      <c r="G12" s="572" t="s">
        <v>71</v>
      </c>
      <c r="H12" s="572"/>
      <c r="I12" s="572"/>
      <c r="J12" s="572"/>
      <c r="K12" s="572"/>
      <c r="L12" s="572"/>
      <c r="M12" s="572"/>
      <c r="N12" s="572"/>
      <c r="O12" s="572"/>
      <c r="P12" s="572"/>
      <c r="Q12" s="572"/>
      <c r="R12" s="572"/>
      <c r="S12" s="2" t="b">
        <f>G12='Quadro Geral'!G22</f>
        <v>1</v>
      </c>
    </row>
    <row r="13" spans="1:19" ht="54" customHeight="1" x14ac:dyDescent="0.4">
      <c r="A13" s="383" t="s">
        <v>155</v>
      </c>
      <c r="B13" s="383"/>
      <c r="C13" s="383"/>
      <c r="D13" s="383"/>
      <c r="E13" s="383"/>
      <c r="F13" s="383"/>
      <c r="G13" s="573" t="s">
        <v>455</v>
      </c>
      <c r="H13" s="573"/>
      <c r="I13" s="573"/>
      <c r="J13" s="573"/>
      <c r="K13" s="573"/>
      <c r="L13" s="573"/>
      <c r="M13" s="573"/>
      <c r="N13" s="573"/>
      <c r="O13" s="573"/>
      <c r="P13" s="573"/>
      <c r="Q13" s="573"/>
      <c r="R13" s="573"/>
      <c r="S13" s="2" t="b">
        <f>G13='Quadro Geral'!H22</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31.25" x14ac:dyDescent="0.25">
      <c r="A18" s="136">
        <v>1</v>
      </c>
      <c r="B18" s="136" t="s">
        <v>641</v>
      </c>
      <c r="C18" s="122" t="s">
        <v>589</v>
      </c>
      <c r="D18" s="136" t="s">
        <v>590</v>
      </c>
      <c r="E18" s="122" t="s">
        <v>591</v>
      </c>
      <c r="F18" s="123">
        <v>43466</v>
      </c>
      <c r="G18" s="123">
        <v>43830</v>
      </c>
      <c r="H18" s="137">
        <v>137299</v>
      </c>
      <c r="I18" s="137">
        <v>160</v>
      </c>
      <c r="J18" s="137">
        <v>149840</v>
      </c>
      <c r="K18" s="220">
        <f>I18+J18</f>
        <v>150000</v>
      </c>
      <c r="L18" s="138">
        <f>K18-H18</f>
        <v>12701</v>
      </c>
      <c r="M18" s="124">
        <f>IFERROR(L18/H18*100,0)</f>
        <v>9.2506136242798558</v>
      </c>
      <c r="N18" s="124">
        <f>IFERROR(K18/$K$19*100,0)</f>
        <v>100</v>
      </c>
      <c r="O18" s="124" t="s">
        <v>165</v>
      </c>
      <c r="P18" s="167"/>
      <c r="Q18" s="171">
        <f>IFERROR(P18/K18*100,)</f>
        <v>0</v>
      </c>
      <c r="R18" s="122" t="s">
        <v>644</v>
      </c>
      <c r="AN18" s="2" t="s">
        <v>237</v>
      </c>
    </row>
    <row r="19" spans="1:40" s="3" customFormat="1" ht="24.75" customHeight="1" x14ac:dyDescent="0.4">
      <c r="A19" s="597" t="s">
        <v>3</v>
      </c>
      <c r="B19" s="598"/>
      <c r="C19" s="598"/>
      <c r="D19" s="598"/>
      <c r="E19" s="598"/>
      <c r="F19" s="598"/>
      <c r="G19" s="599"/>
      <c r="H19" s="139">
        <f>SUM(H18:H18)</f>
        <v>137299</v>
      </c>
      <c r="I19" s="139">
        <f>SUM(I18:I18)</f>
        <v>160</v>
      </c>
      <c r="J19" s="139">
        <f>SUM(J18:J18)</f>
        <v>149840</v>
      </c>
      <c r="K19" s="139">
        <f>SUM(K18:K18)</f>
        <v>150000</v>
      </c>
      <c r="L19" s="169">
        <f t="shared" ref="L19" si="0">K19-H19</f>
        <v>12701</v>
      </c>
      <c r="M19" s="170">
        <f>IFERROR(L19/H19*100,0)</f>
        <v>9.2506136242798558</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299"/>
      <c r="M20" s="300"/>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19:G19"/>
    <mergeCell ref="L15:M15"/>
    <mergeCell ref="N15:N17"/>
    <mergeCell ref="O15:O17"/>
    <mergeCell ref="P15:Q15"/>
    <mergeCell ref="A15:A17"/>
    <mergeCell ref="B15:B17"/>
    <mergeCell ref="I16:K16"/>
    <mergeCell ref="L16:L17"/>
    <mergeCell ref="M16:M17"/>
    <mergeCell ref="P16:P17"/>
    <mergeCell ref="Q16:Q17"/>
    <mergeCell ref="C28:F28"/>
    <mergeCell ref="C29:F29"/>
    <mergeCell ref="A22:R22"/>
    <mergeCell ref="A23:R23"/>
    <mergeCell ref="A24:R24"/>
    <mergeCell ref="A25:F25"/>
    <mergeCell ref="C26:F26"/>
    <mergeCell ref="C27:F27"/>
    <mergeCell ref="R15:R17"/>
    <mergeCell ref="C16:C17"/>
    <mergeCell ref="D16:E16"/>
    <mergeCell ref="F16:F17"/>
    <mergeCell ref="G16:G17"/>
    <mergeCell ref="H16:H17"/>
    <mergeCell ref="C15:E15"/>
    <mergeCell ref="F15:G15"/>
    <mergeCell ref="H15:K15"/>
    <mergeCell ref="A13:F13"/>
    <mergeCell ref="G13:R13"/>
    <mergeCell ref="A14:R14"/>
    <mergeCell ref="A9:F9"/>
    <mergeCell ref="G9:R9"/>
    <mergeCell ref="A10:F10"/>
    <mergeCell ref="G10:R10"/>
    <mergeCell ref="A11:F11"/>
    <mergeCell ref="G11:R11"/>
    <mergeCell ref="A12:F12"/>
    <mergeCell ref="G12:R12"/>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1"/>
  <sheetViews>
    <sheetView showGridLines="0" zoomScale="40" zoomScaleNormal="40" zoomScaleSheetLayoutView="80" workbookViewId="0">
      <selection activeCell="K21" sqref="K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369</v>
      </c>
      <c r="H7" s="572"/>
      <c r="I7" s="572"/>
      <c r="J7" s="572"/>
      <c r="K7" s="572"/>
      <c r="L7" s="572"/>
      <c r="M7" s="572"/>
      <c r="N7" s="572"/>
      <c r="O7" s="572"/>
      <c r="P7" s="572"/>
      <c r="Q7" s="572"/>
      <c r="R7" s="572"/>
      <c r="S7" s="2" t="b">
        <f>G7='Quadro Geral'!A25</f>
        <v>1</v>
      </c>
    </row>
    <row r="8" spans="1:19" ht="54" customHeight="1" x14ac:dyDescent="0.4">
      <c r="A8" s="571" t="s">
        <v>140</v>
      </c>
      <c r="B8" s="571"/>
      <c r="C8" s="571"/>
      <c r="D8" s="571"/>
      <c r="E8" s="571"/>
      <c r="F8" s="571"/>
      <c r="G8" s="572" t="s">
        <v>644</v>
      </c>
      <c r="H8" s="572"/>
      <c r="I8" s="572"/>
      <c r="J8" s="572"/>
      <c r="K8" s="572"/>
      <c r="L8" s="572"/>
      <c r="M8" s="572"/>
      <c r="N8" s="572"/>
      <c r="O8" s="572"/>
      <c r="P8" s="572"/>
      <c r="Q8" s="572"/>
      <c r="R8" s="572"/>
    </row>
    <row r="9" spans="1:19" ht="54" customHeight="1" x14ac:dyDescent="0.4">
      <c r="A9" s="571" t="s">
        <v>153</v>
      </c>
      <c r="B9" s="571"/>
      <c r="C9" s="571"/>
      <c r="D9" s="571"/>
      <c r="E9" s="571"/>
      <c r="F9" s="571"/>
      <c r="G9" s="572" t="s">
        <v>639</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402</v>
      </c>
      <c r="H10" s="572"/>
      <c r="I10" s="572"/>
      <c r="J10" s="572"/>
      <c r="K10" s="572"/>
      <c r="L10" s="572"/>
      <c r="M10" s="572"/>
      <c r="N10" s="572"/>
      <c r="O10" s="572"/>
      <c r="P10" s="572"/>
      <c r="Q10" s="572"/>
      <c r="R10" s="572"/>
      <c r="S10" s="2" t="b">
        <f>G10='Quadro Geral'!E25</f>
        <v>1</v>
      </c>
    </row>
    <row r="11" spans="1:19" ht="54" customHeight="1" x14ac:dyDescent="0.4">
      <c r="A11" s="571" t="s">
        <v>154</v>
      </c>
      <c r="B11" s="571"/>
      <c r="C11" s="571"/>
      <c r="D11" s="571"/>
      <c r="E11" s="571"/>
      <c r="F11" s="571"/>
      <c r="G11" s="572" t="s">
        <v>430</v>
      </c>
      <c r="H11" s="572"/>
      <c r="I11" s="572"/>
      <c r="J11" s="572"/>
      <c r="K11" s="572"/>
      <c r="L11" s="572"/>
      <c r="M11" s="572"/>
      <c r="N11" s="572"/>
      <c r="O11" s="572"/>
      <c r="P11" s="572"/>
      <c r="Q11" s="572"/>
      <c r="R11" s="572"/>
      <c r="S11" s="2" t="b">
        <f>G11='Quadro Geral'!F25</f>
        <v>1</v>
      </c>
    </row>
    <row r="12" spans="1:19" ht="54" customHeight="1" x14ac:dyDescent="0.4">
      <c r="A12" s="571" t="s">
        <v>142</v>
      </c>
      <c r="B12" s="571"/>
      <c r="C12" s="571"/>
      <c r="D12" s="571"/>
      <c r="E12" s="571"/>
      <c r="F12" s="571"/>
      <c r="G12" s="572" t="s">
        <v>61</v>
      </c>
      <c r="H12" s="572"/>
      <c r="I12" s="572"/>
      <c r="J12" s="572"/>
      <c r="K12" s="572"/>
      <c r="L12" s="572"/>
      <c r="M12" s="572"/>
      <c r="N12" s="572"/>
      <c r="O12" s="572"/>
      <c r="P12" s="572"/>
      <c r="Q12" s="572"/>
      <c r="R12" s="572"/>
      <c r="S12" s="2" t="b">
        <f>G12='Quadro Geral'!G25</f>
        <v>1</v>
      </c>
    </row>
    <row r="13" spans="1:19" ht="54" customHeight="1" x14ac:dyDescent="0.4">
      <c r="A13" s="383" t="s">
        <v>155</v>
      </c>
      <c r="B13" s="383"/>
      <c r="C13" s="383"/>
      <c r="D13" s="383"/>
      <c r="E13" s="383"/>
      <c r="F13" s="383"/>
      <c r="G13" s="573" t="s">
        <v>458</v>
      </c>
      <c r="H13" s="573"/>
      <c r="I13" s="573"/>
      <c r="J13" s="573"/>
      <c r="K13" s="573"/>
      <c r="L13" s="573"/>
      <c r="M13" s="573"/>
      <c r="N13" s="573"/>
      <c r="O13" s="573"/>
      <c r="P13" s="573"/>
      <c r="Q13" s="573"/>
      <c r="R13" s="573"/>
      <c r="S13" s="2" t="b">
        <f>G13='Quadro Geral'!H25</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78.75" x14ac:dyDescent="0.25">
      <c r="A18" s="136">
        <v>1</v>
      </c>
      <c r="B18" s="136" t="s">
        <v>664</v>
      </c>
      <c r="C18" s="585" t="s">
        <v>402</v>
      </c>
      <c r="D18" s="136" t="s">
        <v>592</v>
      </c>
      <c r="E18" s="122" t="s">
        <v>593</v>
      </c>
      <c r="F18" s="123">
        <v>43466</v>
      </c>
      <c r="G18" s="123">
        <v>43830</v>
      </c>
      <c r="H18" s="137">
        <v>10000</v>
      </c>
      <c r="I18" s="137">
        <v>363</v>
      </c>
      <c r="J18" s="137">
        <v>9637</v>
      </c>
      <c r="K18" s="220">
        <f>I18+J18</f>
        <v>10000</v>
      </c>
      <c r="L18" s="138">
        <f>K18-H18</f>
        <v>0</v>
      </c>
      <c r="M18" s="124">
        <f>IFERROR(L18/H18*100,0)</f>
        <v>0</v>
      </c>
      <c r="N18" s="124">
        <f>IFERROR(K18/$K$20*100,0)</f>
        <v>9.9502487562189064</v>
      </c>
      <c r="O18" s="124" t="s">
        <v>165</v>
      </c>
      <c r="P18" s="167"/>
      <c r="Q18" s="171">
        <f>IFERROR(P18/K18*100,)</f>
        <v>0</v>
      </c>
      <c r="R18" s="122" t="s">
        <v>644</v>
      </c>
      <c r="AN18" s="2" t="s">
        <v>237</v>
      </c>
    </row>
    <row r="19" spans="1:40" ht="157.5" x14ac:dyDescent="0.25">
      <c r="A19" s="136">
        <v>2</v>
      </c>
      <c r="B19" s="136" t="s">
        <v>641</v>
      </c>
      <c r="C19" s="587"/>
      <c r="D19" s="136" t="s">
        <v>594</v>
      </c>
      <c r="E19" s="122" t="s">
        <v>595</v>
      </c>
      <c r="F19" s="123">
        <v>43466</v>
      </c>
      <c r="G19" s="123">
        <v>43830</v>
      </c>
      <c r="H19" s="137">
        <v>65000</v>
      </c>
      <c r="I19" s="137">
        <v>0</v>
      </c>
      <c r="J19" s="137">
        <v>90500</v>
      </c>
      <c r="K19" s="220">
        <f t="shared" ref="K19" si="0">I19+J19</f>
        <v>90500</v>
      </c>
      <c r="L19" s="138">
        <f t="shared" ref="L19:L20" si="1">K19-H19</f>
        <v>25500</v>
      </c>
      <c r="M19" s="124">
        <f t="shared" ref="M19" si="2">IFERROR(L19/H19*100,0)</f>
        <v>39.230769230769234</v>
      </c>
      <c r="N19" s="124">
        <f>IFERROR(K19/$K$20*100,0)</f>
        <v>90.049751243781088</v>
      </c>
      <c r="O19" s="124" t="s">
        <v>165</v>
      </c>
      <c r="P19" s="167"/>
      <c r="Q19" s="171">
        <f t="shared" ref="Q19" si="3">IFERROR(P19/K19*100,)</f>
        <v>0</v>
      </c>
      <c r="R19" s="122" t="s">
        <v>644</v>
      </c>
    </row>
    <row r="20" spans="1:40" s="3" customFormat="1" ht="24.75" customHeight="1" x14ac:dyDescent="0.4">
      <c r="A20" s="597" t="s">
        <v>3</v>
      </c>
      <c r="B20" s="598"/>
      <c r="C20" s="598"/>
      <c r="D20" s="598"/>
      <c r="E20" s="598"/>
      <c r="F20" s="598"/>
      <c r="G20" s="599"/>
      <c r="H20" s="139">
        <f>SUM(H18:H19)</f>
        <v>75000</v>
      </c>
      <c r="I20" s="139">
        <f>SUM(I18:I19)</f>
        <v>363</v>
      </c>
      <c r="J20" s="139">
        <f>SUM(J18:J19)</f>
        <v>100137</v>
      </c>
      <c r="K20" s="139">
        <f>SUM(K18:K19)</f>
        <v>100500</v>
      </c>
      <c r="L20" s="169">
        <f t="shared" si="1"/>
        <v>25500</v>
      </c>
      <c r="M20" s="170">
        <f>IFERROR(L20/H20*100,0)</f>
        <v>34</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s="3" customFormat="1" ht="24.75" customHeight="1" x14ac:dyDescent="0.4">
      <c r="A22" s="298"/>
      <c r="B22" s="298"/>
      <c r="C22" s="298"/>
      <c r="D22" s="298"/>
      <c r="E22" s="298"/>
      <c r="F22" s="298"/>
      <c r="G22" s="298"/>
      <c r="H22" s="307"/>
      <c r="I22" s="362"/>
      <c r="J22" s="362"/>
      <c r="K22" s="307"/>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46">
    <mergeCell ref="C30:F30"/>
    <mergeCell ref="C18:C19"/>
    <mergeCell ref="A23:R23"/>
    <mergeCell ref="A24:R24"/>
    <mergeCell ref="A25:R25"/>
    <mergeCell ref="A26:F26"/>
    <mergeCell ref="C27:F27"/>
    <mergeCell ref="C28:F28"/>
    <mergeCell ref="A20:G20"/>
    <mergeCell ref="C15:E15"/>
    <mergeCell ref="F15:G15"/>
    <mergeCell ref="R15:R17"/>
    <mergeCell ref="L16:L17"/>
    <mergeCell ref="C29:F29"/>
    <mergeCell ref="M16:M17"/>
    <mergeCell ref="P16:P17"/>
    <mergeCell ref="H15:K15"/>
    <mergeCell ref="C16:C17"/>
    <mergeCell ref="D16:E16"/>
    <mergeCell ref="F16:F17"/>
    <mergeCell ref="G16:G17"/>
    <mergeCell ref="H16:H17"/>
    <mergeCell ref="I16:K16"/>
    <mergeCell ref="A10:F10"/>
    <mergeCell ref="G10:R10"/>
    <mergeCell ref="A11:F11"/>
    <mergeCell ref="G11:R11"/>
    <mergeCell ref="Q16:Q17"/>
    <mergeCell ref="A12:F12"/>
    <mergeCell ref="G12:R12"/>
    <mergeCell ref="L15:M15"/>
    <mergeCell ref="N15:N17"/>
    <mergeCell ref="O15:O17"/>
    <mergeCell ref="P15:Q15"/>
    <mergeCell ref="A13:F13"/>
    <mergeCell ref="G13:R13"/>
    <mergeCell ref="A14:R14"/>
    <mergeCell ref="A15:A17"/>
    <mergeCell ref="B15:B17"/>
    <mergeCell ref="A9:F9"/>
    <mergeCell ref="G9:R9"/>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5"/>
  <sheetViews>
    <sheetView showGridLines="0" topLeftCell="A13" zoomScale="40" zoomScaleNormal="40" zoomScaleSheetLayoutView="80" workbookViewId="0">
      <selection activeCell="H25" sqref="H25:K26"/>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381</v>
      </c>
      <c r="H7" s="572"/>
      <c r="I7" s="572"/>
      <c r="J7" s="572"/>
      <c r="K7" s="572"/>
      <c r="L7" s="572"/>
      <c r="M7" s="572"/>
      <c r="N7" s="572"/>
      <c r="O7" s="572"/>
      <c r="P7" s="572"/>
      <c r="Q7" s="572"/>
      <c r="R7" s="572"/>
      <c r="S7" s="2" t="b">
        <f>G7='Quadro Geral'!A28</f>
        <v>1</v>
      </c>
    </row>
    <row r="8" spans="1:19" ht="54" customHeight="1" x14ac:dyDescent="0.4">
      <c r="A8" s="571" t="s">
        <v>140</v>
      </c>
      <c r="B8" s="571"/>
      <c r="C8" s="571"/>
      <c r="D8" s="571"/>
      <c r="E8" s="571"/>
      <c r="F8" s="571"/>
      <c r="G8" s="572" t="s">
        <v>653</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405</v>
      </c>
      <c r="H10" s="572"/>
      <c r="I10" s="572"/>
      <c r="J10" s="572"/>
      <c r="K10" s="572"/>
      <c r="L10" s="572"/>
      <c r="M10" s="572"/>
      <c r="N10" s="572"/>
      <c r="O10" s="572"/>
      <c r="P10" s="572"/>
      <c r="Q10" s="572"/>
      <c r="R10" s="572"/>
      <c r="S10" s="2" t="b">
        <f>G10='Quadro Geral'!E28</f>
        <v>1</v>
      </c>
    </row>
    <row r="11" spans="1:19" ht="54" customHeight="1" x14ac:dyDescent="0.4">
      <c r="A11" s="571" t="s">
        <v>154</v>
      </c>
      <c r="B11" s="571"/>
      <c r="C11" s="571"/>
      <c r="D11" s="571"/>
      <c r="E11" s="571"/>
      <c r="F11" s="571"/>
      <c r="G11" s="572" t="s">
        <v>433</v>
      </c>
      <c r="H11" s="572"/>
      <c r="I11" s="572"/>
      <c r="J11" s="572"/>
      <c r="K11" s="572"/>
      <c r="L11" s="572"/>
      <c r="M11" s="572"/>
      <c r="N11" s="572"/>
      <c r="O11" s="572"/>
      <c r="P11" s="572"/>
      <c r="Q11" s="572"/>
      <c r="R11" s="572"/>
      <c r="S11" s="2" t="b">
        <f>G11='Quadro Geral'!F28</f>
        <v>1</v>
      </c>
    </row>
    <row r="12" spans="1:19" ht="54" customHeight="1" x14ac:dyDescent="0.4">
      <c r="A12" s="571" t="s">
        <v>142</v>
      </c>
      <c r="B12" s="571"/>
      <c r="C12" s="571"/>
      <c r="D12" s="571"/>
      <c r="E12" s="571"/>
      <c r="F12" s="571"/>
      <c r="G12" s="572" t="s">
        <v>71</v>
      </c>
      <c r="H12" s="572"/>
      <c r="I12" s="572"/>
      <c r="J12" s="572"/>
      <c r="K12" s="572"/>
      <c r="L12" s="572"/>
      <c r="M12" s="572"/>
      <c r="N12" s="572"/>
      <c r="O12" s="572"/>
      <c r="P12" s="572"/>
      <c r="Q12" s="572"/>
      <c r="R12" s="572"/>
      <c r="S12" s="2" t="b">
        <f>G12='Quadro Geral'!G28</f>
        <v>1</v>
      </c>
    </row>
    <row r="13" spans="1:19" ht="54" customHeight="1" x14ac:dyDescent="0.4">
      <c r="A13" s="383" t="s">
        <v>155</v>
      </c>
      <c r="B13" s="383"/>
      <c r="C13" s="383"/>
      <c r="D13" s="383"/>
      <c r="E13" s="383"/>
      <c r="F13" s="383"/>
      <c r="G13" s="573" t="s">
        <v>461</v>
      </c>
      <c r="H13" s="573"/>
      <c r="I13" s="573"/>
      <c r="J13" s="573"/>
      <c r="K13" s="573"/>
      <c r="L13" s="573"/>
      <c r="M13" s="573"/>
      <c r="N13" s="573"/>
      <c r="O13" s="573"/>
      <c r="P13" s="573"/>
      <c r="Q13" s="573"/>
      <c r="R13" s="573"/>
      <c r="S13" s="2" t="b">
        <f>G13='Quadro Geral'!H28</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31.25" x14ac:dyDescent="0.25">
      <c r="A18" s="136">
        <v>1</v>
      </c>
      <c r="B18" s="585" t="s">
        <v>641</v>
      </c>
      <c r="C18" s="122" t="s">
        <v>596</v>
      </c>
      <c r="D18" s="136" t="s">
        <v>597</v>
      </c>
      <c r="E18" s="122" t="s">
        <v>598</v>
      </c>
      <c r="F18" s="123">
        <v>43466</v>
      </c>
      <c r="G18" s="123">
        <v>43830</v>
      </c>
      <c r="H18" s="606">
        <v>284821</v>
      </c>
      <c r="I18" s="600">
        <v>99077</v>
      </c>
      <c r="J18" s="600">
        <v>198466</v>
      </c>
      <c r="K18" s="603">
        <f>I18+J18</f>
        <v>297543</v>
      </c>
      <c r="L18" s="138">
        <f>K18-H18</f>
        <v>12722</v>
      </c>
      <c r="M18" s="124">
        <f>IFERROR(L18/H18*100,0)</f>
        <v>4.4666650282107003</v>
      </c>
      <c r="N18" s="124">
        <f t="shared" ref="N18:N23" si="0">IFERROR(K18/$K$24*100,0)</f>
        <v>100</v>
      </c>
      <c r="O18" s="124" t="s">
        <v>165</v>
      </c>
      <c r="P18" s="167"/>
      <c r="Q18" s="171">
        <f>IFERROR(P18/K18*100,)</f>
        <v>0</v>
      </c>
      <c r="R18" s="122" t="s">
        <v>653</v>
      </c>
      <c r="AN18" s="2" t="s">
        <v>237</v>
      </c>
    </row>
    <row r="19" spans="1:40" ht="78.75" x14ac:dyDescent="0.25">
      <c r="A19" s="136">
        <v>2</v>
      </c>
      <c r="B19" s="586"/>
      <c r="C19" s="122" t="s">
        <v>599</v>
      </c>
      <c r="D19" s="136" t="s">
        <v>600</v>
      </c>
      <c r="E19" s="282" t="s">
        <v>601</v>
      </c>
      <c r="F19" s="123">
        <v>43466</v>
      </c>
      <c r="G19" s="123">
        <v>43830</v>
      </c>
      <c r="H19" s="607"/>
      <c r="I19" s="601"/>
      <c r="J19" s="601"/>
      <c r="K19" s="604"/>
      <c r="L19" s="138">
        <f t="shared" ref="L19:L24" si="1">K19-H19</f>
        <v>0</v>
      </c>
      <c r="M19" s="124">
        <f t="shared" ref="M19:M23" si="2">IFERROR(L19/H19*100,0)</f>
        <v>0</v>
      </c>
      <c r="N19" s="124">
        <f t="shared" si="0"/>
        <v>0</v>
      </c>
      <c r="O19" s="124" t="s">
        <v>165</v>
      </c>
      <c r="P19" s="167"/>
      <c r="Q19" s="171">
        <f t="shared" ref="Q19:Q23" si="3">IFERROR(P19/K19*100,)</f>
        <v>0</v>
      </c>
      <c r="R19" s="122" t="s">
        <v>653</v>
      </c>
    </row>
    <row r="20" spans="1:40" ht="105" x14ac:dyDescent="0.25">
      <c r="A20" s="136">
        <v>3</v>
      </c>
      <c r="B20" s="586"/>
      <c r="C20" s="122" t="s">
        <v>602</v>
      </c>
      <c r="D20" s="136" t="s">
        <v>603</v>
      </c>
      <c r="E20" s="122" t="s">
        <v>604</v>
      </c>
      <c r="F20" s="123">
        <v>43466</v>
      </c>
      <c r="G20" s="123">
        <v>43830</v>
      </c>
      <c r="H20" s="607"/>
      <c r="I20" s="601"/>
      <c r="J20" s="601"/>
      <c r="K20" s="604"/>
      <c r="L20" s="138">
        <f t="shared" si="1"/>
        <v>0</v>
      </c>
      <c r="M20" s="124">
        <f t="shared" si="2"/>
        <v>0</v>
      </c>
      <c r="N20" s="124">
        <f t="shared" si="0"/>
        <v>0</v>
      </c>
      <c r="O20" s="124" t="s">
        <v>165</v>
      </c>
      <c r="P20" s="167"/>
      <c r="Q20" s="171">
        <f t="shared" si="3"/>
        <v>0</v>
      </c>
      <c r="R20" s="122" t="s">
        <v>653</v>
      </c>
    </row>
    <row r="21" spans="1:40" ht="131.25" x14ac:dyDescent="0.25">
      <c r="A21" s="136">
        <v>4</v>
      </c>
      <c r="B21" s="586"/>
      <c r="C21" s="122" t="s">
        <v>605</v>
      </c>
      <c r="D21" s="136" t="s">
        <v>606</v>
      </c>
      <c r="E21" s="122" t="s">
        <v>607</v>
      </c>
      <c r="F21" s="123">
        <v>43466</v>
      </c>
      <c r="G21" s="123">
        <v>43830</v>
      </c>
      <c r="H21" s="607"/>
      <c r="I21" s="601"/>
      <c r="J21" s="601"/>
      <c r="K21" s="604"/>
      <c r="L21" s="138">
        <f t="shared" si="1"/>
        <v>0</v>
      </c>
      <c r="M21" s="124">
        <f t="shared" si="2"/>
        <v>0</v>
      </c>
      <c r="N21" s="124">
        <f t="shared" si="0"/>
        <v>0</v>
      </c>
      <c r="O21" s="124" t="s">
        <v>165</v>
      </c>
      <c r="P21" s="167"/>
      <c r="Q21" s="171">
        <f t="shared" si="3"/>
        <v>0</v>
      </c>
      <c r="R21" s="122" t="s">
        <v>653</v>
      </c>
    </row>
    <row r="22" spans="1:40" ht="131.25" x14ac:dyDescent="0.25">
      <c r="A22" s="136">
        <v>5</v>
      </c>
      <c r="B22" s="586"/>
      <c r="C22" s="122" t="s">
        <v>608</v>
      </c>
      <c r="D22" s="136" t="s">
        <v>609</v>
      </c>
      <c r="E22" s="122" t="s">
        <v>610</v>
      </c>
      <c r="F22" s="123">
        <v>43466</v>
      </c>
      <c r="G22" s="123">
        <v>43830</v>
      </c>
      <c r="H22" s="607"/>
      <c r="I22" s="601"/>
      <c r="J22" s="601"/>
      <c r="K22" s="604"/>
      <c r="L22" s="138">
        <f t="shared" si="1"/>
        <v>0</v>
      </c>
      <c r="M22" s="124">
        <f t="shared" si="2"/>
        <v>0</v>
      </c>
      <c r="N22" s="124">
        <f t="shared" si="0"/>
        <v>0</v>
      </c>
      <c r="O22" s="124" t="s">
        <v>165</v>
      </c>
      <c r="P22" s="167"/>
      <c r="Q22" s="171">
        <f t="shared" si="3"/>
        <v>0</v>
      </c>
      <c r="R22" s="122" t="s">
        <v>653</v>
      </c>
    </row>
    <row r="23" spans="1:40" ht="105" x14ac:dyDescent="0.25">
      <c r="A23" s="136">
        <v>6</v>
      </c>
      <c r="B23" s="587"/>
      <c r="C23" s="122" t="s">
        <v>611</v>
      </c>
      <c r="D23" s="136" t="s">
        <v>612</v>
      </c>
      <c r="E23" s="122" t="s">
        <v>613</v>
      </c>
      <c r="F23" s="123">
        <v>43466</v>
      </c>
      <c r="G23" s="123">
        <v>43830</v>
      </c>
      <c r="H23" s="608"/>
      <c r="I23" s="602"/>
      <c r="J23" s="602"/>
      <c r="K23" s="605"/>
      <c r="L23" s="138">
        <f t="shared" si="1"/>
        <v>0</v>
      </c>
      <c r="M23" s="124">
        <f t="shared" si="2"/>
        <v>0</v>
      </c>
      <c r="N23" s="124">
        <f t="shared" si="0"/>
        <v>0</v>
      </c>
      <c r="O23" s="124" t="s">
        <v>165</v>
      </c>
      <c r="P23" s="167"/>
      <c r="Q23" s="171">
        <f t="shared" si="3"/>
        <v>0</v>
      </c>
      <c r="R23" s="122" t="s">
        <v>653</v>
      </c>
    </row>
    <row r="24" spans="1:40" s="3" customFormat="1" ht="24.75" customHeight="1" x14ac:dyDescent="0.4">
      <c r="A24" s="597" t="s">
        <v>3</v>
      </c>
      <c r="B24" s="598"/>
      <c r="C24" s="598"/>
      <c r="D24" s="598"/>
      <c r="E24" s="598"/>
      <c r="F24" s="598"/>
      <c r="G24" s="599"/>
      <c r="H24" s="350">
        <f>SUM(H18:H23)</f>
        <v>284821</v>
      </c>
      <c r="I24" s="350">
        <f>SUM(I18:I23)</f>
        <v>99077</v>
      </c>
      <c r="J24" s="350">
        <f>SUM(J18:J23)</f>
        <v>198466</v>
      </c>
      <c r="K24" s="139">
        <f>SUM(K18:K23)</f>
        <v>297543</v>
      </c>
      <c r="L24" s="169">
        <f t="shared" si="1"/>
        <v>12722</v>
      </c>
      <c r="M24" s="170">
        <f>IFERROR(L24/H24*100,0)</f>
        <v>4.4666650282107003</v>
      </c>
      <c r="N24" s="170">
        <f>SUM(N18:N23)</f>
        <v>100</v>
      </c>
      <c r="O24" s="170"/>
      <c r="P24" s="168">
        <f>SUM(P18:P23)</f>
        <v>0</v>
      </c>
      <c r="Q24" s="140">
        <f>IFERROR(P24/K24*100,)</f>
        <v>0</v>
      </c>
      <c r="R24" s="140"/>
    </row>
    <row r="25" spans="1:40" s="3" customFormat="1" ht="24.75" customHeight="1" x14ac:dyDescent="0.4">
      <c r="A25" s="298"/>
      <c r="B25" s="298"/>
      <c r="C25" s="298"/>
      <c r="D25" s="298"/>
      <c r="E25" s="298"/>
      <c r="F25" s="298"/>
      <c r="G25" s="298"/>
      <c r="H25" s="307"/>
      <c r="I25" s="307"/>
      <c r="J25" s="307"/>
      <c r="K25" s="307"/>
      <c r="L25" s="299"/>
      <c r="M25" s="300"/>
      <c r="N25" s="300"/>
      <c r="O25" s="300"/>
      <c r="P25" s="301"/>
      <c r="Q25" s="302"/>
      <c r="R25" s="302"/>
    </row>
    <row r="26" spans="1:40" s="3" customFormat="1" ht="24.75" customHeight="1" x14ac:dyDescent="0.4">
      <c r="A26" s="298"/>
      <c r="B26" s="298"/>
      <c r="C26" s="298"/>
      <c r="D26" s="298"/>
      <c r="E26" s="298"/>
      <c r="F26" s="298"/>
      <c r="G26" s="298"/>
      <c r="H26" s="362"/>
      <c r="I26" s="362"/>
      <c r="J26" s="362"/>
      <c r="K26" s="307"/>
      <c r="L26" s="299"/>
      <c r="M26" s="300"/>
      <c r="N26" s="300"/>
      <c r="O26" s="300"/>
      <c r="P26" s="301"/>
      <c r="Q26" s="302"/>
      <c r="R26" s="302"/>
    </row>
    <row r="27" spans="1:40" x14ac:dyDescent="0.4">
      <c r="A27" s="589" t="s">
        <v>116</v>
      </c>
      <c r="B27" s="589"/>
      <c r="C27" s="589"/>
      <c r="D27" s="589"/>
      <c r="E27" s="589"/>
      <c r="F27" s="589"/>
      <c r="G27" s="589"/>
      <c r="H27" s="589"/>
      <c r="I27" s="589"/>
      <c r="J27" s="589"/>
      <c r="K27" s="589"/>
      <c r="L27" s="589"/>
      <c r="M27" s="589"/>
      <c r="N27" s="589"/>
      <c r="O27" s="589"/>
      <c r="P27" s="589"/>
      <c r="Q27" s="589"/>
      <c r="R27" s="589"/>
    </row>
    <row r="28" spans="1:40" ht="36" customHeight="1" x14ac:dyDescent="0.25">
      <c r="A28" s="590" t="s">
        <v>179</v>
      </c>
      <c r="B28" s="591"/>
      <c r="C28" s="591"/>
      <c r="D28" s="591"/>
      <c r="E28" s="591"/>
      <c r="F28" s="591"/>
      <c r="G28" s="591"/>
      <c r="H28" s="591"/>
      <c r="I28" s="591"/>
      <c r="J28" s="591"/>
      <c r="K28" s="591"/>
      <c r="L28" s="591"/>
      <c r="M28" s="591"/>
      <c r="N28" s="591"/>
      <c r="O28" s="591"/>
      <c r="P28" s="591"/>
      <c r="Q28" s="591"/>
      <c r="R28" s="592"/>
    </row>
    <row r="29" spans="1:40" ht="95.25" customHeight="1" x14ac:dyDescent="0.4">
      <c r="A29" s="593"/>
      <c r="B29" s="594"/>
      <c r="C29" s="594"/>
      <c r="D29" s="594"/>
      <c r="E29" s="594"/>
      <c r="F29" s="594"/>
      <c r="G29" s="594"/>
      <c r="H29" s="594"/>
      <c r="I29" s="594"/>
      <c r="J29" s="594"/>
      <c r="K29" s="594"/>
      <c r="L29" s="594"/>
      <c r="M29" s="594"/>
      <c r="N29" s="594"/>
      <c r="O29" s="594"/>
      <c r="P29" s="594"/>
      <c r="Q29" s="594"/>
      <c r="R29" s="595"/>
    </row>
    <row r="30" spans="1:40" ht="15" hidden="1" customHeight="1" x14ac:dyDescent="0.4">
      <c r="A30" s="596" t="s">
        <v>12</v>
      </c>
      <c r="B30" s="596"/>
      <c r="C30" s="596"/>
      <c r="D30" s="596"/>
      <c r="E30" s="596"/>
      <c r="F30" s="596"/>
      <c r="G30" s="141"/>
      <c r="H30" s="141"/>
      <c r="I30" s="141"/>
      <c r="J30" s="141"/>
      <c r="K30" s="141"/>
      <c r="L30" s="141"/>
      <c r="M30" s="141"/>
      <c r="N30" s="141"/>
      <c r="O30" s="141"/>
      <c r="P30" s="141"/>
      <c r="Q30" s="141"/>
      <c r="R30" s="141"/>
    </row>
    <row r="31" spans="1:40" ht="15" hidden="1" customHeight="1" x14ac:dyDescent="0.4">
      <c r="A31" s="142" t="s">
        <v>16</v>
      </c>
      <c r="B31" s="142"/>
      <c r="C31" s="588" t="s">
        <v>20</v>
      </c>
      <c r="D31" s="588"/>
      <c r="E31" s="588"/>
      <c r="F31" s="588"/>
      <c r="P31" s="77"/>
      <c r="Q31" s="77"/>
      <c r="R31" s="77"/>
    </row>
    <row r="32" spans="1:40" ht="15" hidden="1" customHeight="1" x14ac:dyDescent="0.4">
      <c r="A32" s="142" t="s">
        <v>17</v>
      </c>
      <c r="B32" s="142"/>
      <c r="C32" s="588" t="s">
        <v>13</v>
      </c>
      <c r="D32" s="588"/>
      <c r="E32" s="588"/>
      <c r="F32" s="588"/>
      <c r="P32" s="77"/>
      <c r="Q32" s="77"/>
      <c r="R32" s="77"/>
    </row>
    <row r="33" spans="1:18" ht="15" hidden="1" customHeight="1" x14ac:dyDescent="0.4">
      <c r="A33" s="142" t="s">
        <v>18</v>
      </c>
      <c r="B33" s="142"/>
      <c r="C33" s="588" t="s">
        <v>14</v>
      </c>
      <c r="D33" s="588"/>
      <c r="E33" s="588"/>
      <c r="F33" s="588"/>
      <c r="P33" s="77"/>
      <c r="Q33" s="77"/>
      <c r="R33" s="77"/>
    </row>
    <row r="34" spans="1:18" ht="15" hidden="1" customHeight="1" x14ac:dyDescent="0.4">
      <c r="A34" s="142" t="s">
        <v>19</v>
      </c>
      <c r="B34" s="142"/>
      <c r="C34" s="588" t="s">
        <v>15</v>
      </c>
      <c r="D34" s="588"/>
      <c r="E34" s="588"/>
      <c r="F34" s="588"/>
      <c r="P34" s="77"/>
      <c r="Q34" s="77"/>
      <c r="R34" s="77"/>
    </row>
    <row r="35" spans="1:18" ht="35.25" customHeight="1" x14ac:dyDescent="0.4"/>
  </sheetData>
  <sheetProtection formatCells="0" formatRows="0" insertRows="0" deleteRows="0"/>
  <mergeCells count="50">
    <mergeCell ref="A12:F12"/>
    <mergeCell ref="G12:R12"/>
    <mergeCell ref="H18:H23"/>
    <mergeCell ref="I18:I23"/>
    <mergeCell ref="J18:J23"/>
    <mergeCell ref="K18:K23"/>
    <mergeCell ref="B18:B23"/>
    <mergeCell ref="R15:R17"/>
    <mergeCell ref="H16:H17"/>
    <mergeCell ref="C15:E15"/>
    <mergeCell ref="F15:G15"/>
    <mergeCell ref="H15:K15"/>
    <mergeCell ref="A13:F13"/>
    <mergeCell ref="G13:R13"/>
    <mergeCell ref="A14:R14"/>
    <mergeCell ref="C33:F33"/>
    <mergeCell ref="C34:F34"/>
    <mergeCell ref="A27:R27"/>
    <mergeCell ref="A28:R28"/>
    <mergeCell ref="A29:R29"/>
    <mergeCell ref="A30:F30"/>
    <mergeCell ref="C31:F31"/>
    <mergeCell ref="C32:F32"/>
    <mergeCell ref="A24:G24"/>
    <mergeCell ref="L15:M15"/>
    <mergeCell ref="N15:N17"/>
    <mergeCell ref="O15:O17"/>
    <mergeCell ref="P15:Q15"/>
    <mergeCell ref="A15:A17"/>
    <mergeCell ref="B15:B17"/>
    <mergeCell ref="I16:K16"/>
    <mergeCell ref="L16:L17"/>
    <mergeCell ref="M16:M17"/>
    <mergeCell ref="P16:P17"/>
    <mergeCell ref="Q16:Q17"/>
    <mergeCell ref="C16:C17"/>
    <mergeCell ref="D16:E16"/>
    <mergeCell ref="F16:F17"/>
    <mergeCell ref="G16:G17"/>
    <mergeCell ref="A9:F9"/>
    <mergeCell ref="G9:R9"/>
    <mergeCell ref="A10:F10"/>
    <mergeCell ref="G10:R10"/>
    <mergeCell ref="A11:F11"/>
    <mergeCell ref="G11:R11"/>
    <mergeCell ref="A6:R6"/>
    <mergeCell ref="A7:F7"/>
    <mergeCell ref="G7:R7"/>
    <mergeCell ref="A8:F8"/>
    <mergeCell ref="G8:R8"/>
  </mergeCells>
  <dataValidations disablePrompts="1" count="1">
    <dataValidation type="list" allowBlank="1" showInputMessage="1" showErrorMessage="1" sqref="O18:O23">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5"/>
  <sheetViews>
    <sheetView showGridLines="0" topLeftCell="A22" zoomScale="40" zoomScaleNormal="40" zoomScaleSheetLayoutView="80" workbookViewId="0">
      <selection activeCell="H25" sqref="H25:K26"/>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382</v>
      </c>
      <c r="H7" s="572"/>
      <c r="I7" s="572"/>
      <c r="J7" s="572"/>
      <c r="K7" s="572"/>
      <c r="L7" s="572"/>
      <c r="M7" s="572"/>
      <c r="N7" s="572"/>
      <c r="O7" s="572"/>
      <c r="P7" s="572"/>
      <c r="Q7" s="572"/>
      <c r="R7" s="572"/>
      <c r="S7" s="2" t="b">
        <f>G7='Quadro Geral'!A33</f>
        <v>1</v>
      </c>
    </row>
    <row r="8" spans="1:19" ht="54" customHeight="1" x14ac:dyDescent="0.4">
      <c r="A8" s="571" t="s">
        <v>140</v>
      </c>
      <c r="B8" s="571"/>
      <c r="C8" s="571"/>
      <c r="D8" s="571"/>
      <c r="E8" s="571"/>
      <c r="F8" s="571"/>
      <c r="G8" s="572" t="s">
        <v>654</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410</v>
      </c>
      <c r="H10" s="572"/>
      <c r="I10" s="572"/>
      <c r="J10" s="572"/>
      <c r="K10" s="572"/>
      <c r="L10" s="572"/>
      <c r="M10" s="572"/>
      <c r="N10" s="572"/>
      <c r="O10" s="572"/>
      <c r="P10" s="572"/>
      <c r="Q10" s="572"/>
      <c r="R10" s="572"/>
      <c r="S10" s="2" t="b">
        <f>G10='Quadro Geral'!E33</f>
        <v>1</v>
      </c>
    </row>
    <row r="11" spans="1:19" ht="54" customHeight="1" x14ac:dyDescent="0.4">
      <c r="A11" s="571" t="s">
        <v>154</v>
      </c>
      <c r="B11" s="571"/>
      <c r="C11" s="571"/>
      <c r="D11" s="571"/>
      <c r="E11" s="571"/>
      <c r="F11" s="571"/>
      <c r="G11" s="572" t="s">
        <v>438</v>
      </c>
      <c r="H11" s="572"/>
      <c r="I11" s="572"/>
      <c r="J11" s="572"/>
      <c r="K11" s="572"/>
      <c r="L11" s="572"/>
      <c r="M11" s="572"/>
      <c r="N11" s="572"/>
      <c r="O11" s="572"/>
      <c r="P11" s="572"/>
      <c r="Q11" s="572"/>
      <c r="R11" s="572"/>
      <c r="S11" s="2" t="b">
        <f>G11='Quadro Geral'!F33</f>
        <v>1</v>
      </c>
    </row>
    <row r="12" spans="1:19" ht="54" customHeight="1" x14ac:dyDescent="0.4">
      <c r="A12" s="571" t="s">
        <v>142</v>
      </c>
      <c r="B12" s="571"/>
      <c r="C12" s="571"/>
      <c r="D12" s="571"/>
      <c r="E12" s="571"/>
      <c r="F12" s="571"/>
      <c r="G12" s="572" t="s">
        <v>53</v>
      </c>
      <c r="H12" s="572"/>
      <c r="I12" s="572"/>
      <c r="J12" s="572"/>
      <c r="K12" s="572"/>
      <c r="L12" s="572"/>
      <c r="M12" s="572"/>
      <c r="N12" s="572"/>
      <c r="O12" s="572"/>
      <c r="P12" s="572"/>
      <c r="Q12" s="572"/>
      <c r="R12" s="572"/>
      <c r="S12" s="2" t="b">
        <f>G12='Quadro Geral'!G33</f>
        <v>1</v>
      </c>
    </row>
    <row r="13" spans="1:19" ht="54" customHeight="1" x14ac:dyDescent="0.4">
      <c r="A13" s="383" t="s">
        <v>155</v>
      </c>
      <c r="B13" s="383"/>
      <c r="C13" s="383"/>
      <c r="D13" s="383"/>
      <c r="E13" s="383"/>
      <c r="F13" s="383"/>
      <c r="G13" s="573" t="s">
        <v>466</v>
      </c>
      <c r="H13" s="573"/>
      <c r="I13" s="573"/>
      <c r="J13" s="573"/>
      <c r="K13" s="573"/>
      <c r="L13" s="573"/>
      <c r="M13" s="573"/>
      <c r="N13" s="573"/>
      <c r="O13" s="573"/>
      <c r="P13" s="573"/>
      <c r="Q13" s="573"/>
      <c r="R13" s="573"/>
      <c r="S13" s="2" t="b">
        <f>G13='Quadro Geral'!H33</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210" x14ac:dyDescent="0.25">
      <c r="A18" s="136">
        <v>1</v>
      </c>
      <c r="B18" s="585" t="s">
        <v>641</v>
      </c>
      <c r="C18" s="122" t="s">
        <v>614</v>
      </c>
      <c r="D18" s="122" t="s">
        <v>615</v>
      </c>
      <c r="E18" s="122" t="s">
        <v>616</v>
      </c>
      <c r="F18" s="123">
        <v>43466</v>
      </c>
      <c r="G18" s="123">
        <v>43830</v>
      </c>
      <c r="H18" s="600">
        <v>276514</v>
      </c>
      <c r="I18" s="600">
        <v>98491</v>
      </c>
      <c r="J18" s="600">
        <v>197418</v>
      </c>
      <c r="K18" s="603">
        <f>I18+J18</f>
        <v>295909</v>
      </c>
      <c r="L18" s="138">
        <f>K18-H18</f>
        <v>19395</v>
      </c>
      <c r="M18" s="124">
        <f>IFERROR(L18/H18*100,0)</f>
        <v>7.014111401231041</v>
      </c>
      <c r="N18" s="124">
        <f t="shared" ref="N18:N23" si="0">IFERROR(K18/$K$24*100,0)</f>
        <v>100</v>
      </c>
      <c r="O18" s="124" t="s">
        <v>165</v>
      </c>
      <c r="P18" s="167"/>
      <c r="Q18" s="171">
        <f>IFERROR(P18/K18*100,)</f>
        <v>0</v>
      </c>
      <c r="R18" s="122" t="s">
        <v>654</v>
      </c>
      <c r="AN18" s="2" t="s">
        <v>237</v>
      </c>
    </row>
    <row r="19" spans="1:40" ht="131.25" x14ac:dyDescent="0.25">
      <c r="A19" s="136">
        <v>2</v>
      </c>
      <c r="B19" s="586"/>
      <c r="C19" s="122" t="s">
        <v>617</v>
      </c>
      <c r="D19" s="122" t="s">
        <v>618</v>
      </c>
      <c r="E19" s="283" t="s">
        <v>619</v>
      </c>
      <c r="F19" s="123">
        <v>43466</v>
      </c>
      <c r="G19" s="123">
        <v>43830</v>
      </c>
      <c r="H19" s="601"/>
      <c r="I19" s="601"/>
      <c r="J19" s="601"/>
      <c r="K19" s="604"/>
      <c r="L19" s="138">
        <f t="shared" ref="L19:L24" si="1">K19-H19</f>
        <v>0</v>
      </c>
      <c r="M19" s="124">
        <f t="shared" ref="M19:M23" si="2">IFERROR(L19/H19*100,0)</f>
        <v>0</v>
      </c>
      <c r="N19" s="124">
        <f t="shared" si="0"/>
        <v>0</v>
      </c>
      <c r="O19" s="124" t="s">
        <v>165</v>
      </c>
      <c r="P19" s="167"/>
      <c r="Q19" s="171">
        <f t="shared" ref="Q19:Q23" si="3">IFERROR(P19/K19*100,)</f>
        <v>0</v>
      </c>
      <c r="R19" s="122" t="s">
        <v>654</v>
      </c>
    </row>
    <row r="20" spans="1:40" ht="210" x14ac:dyDescent="0.25">
      <c r="A20" s="136">
        <v>3</v>
      </c>
      <c r="B20" s="586"/>
      <c r="C20" s="122" t="s">
        <v>620</v>
      </c>
      <c r="D20" s="122" t="s">
        <v>621</v>
      </c>
      <c r="E20" s="122" t="s">
        <v>622</v>
      </c>
      <c r="F20" s="123">
        <v>43466</v>
      </c>
      <c r="G20" s="123">
        <v>43830</v>
      </c>
      <c r="H20" s="601"/>
      <c r="I20" s="601"/>
      <c r="J20" s="601"/>
      <c r="K20" s="604"/>
      <c r="L20" s="138">
        <f t="shared" si="1"/>
        <v>0</v>
      </c>
      <c r="M20" s="124">
        <f t="shared" si="2"/>
        <v>0</v>
      </c>
      <c r="N20" s="124">
        <f t="shared" si="0"/>
        <v>0</v>
      </c>
      <c r="O20" s="124" t="s">
        <v>165</v>
      </c>
      <c r="P20" s="167"/>
      <c r="Q20" s="171">
        <f t="shared" si="3"/>
        <v>0</v>
      </c>
      <c r="R20" s="122" t="s">
        <v>654</v>
      </c>
    </row>
    <row r="21" spans="1:40" ht="157.5" x14ac:dyDescent="0.25">
      <c r="A21" s="136">
        <v>4</v>
      </c>
      <c r="B21" s="586"/>
      <c r="C21" s="122" t="s">
        <v>623</v>
      </c>
      <c r="D21" s="122" t="s">
        <v>624</v>
      </c>
      <c r="E21" s="122" t="s">
        <v>625</v>
      </c>
      <c r="F21" s="123">
        <v>43466</v>
      </c>
      <c r="G21" s="123">
        <v>43830</v>
      </c>
      <c r="H21" s="601"/>
      <c r="I21" s="601"/>
      <c r="J21" s="601"/>
      <c r="K21" s="604"/>
      <c r="L21" s="138">
        <f t="shared" si="1"/>
        <v>0</v>
      </c>
      <c r="M21" s="124">
        <f t="shared" si="2"/>
        <v>0</v>
      </c>
      <c r="N21" s="124">
        <f t="shared" si="0"/>
        <v>0</v>
      </c>
      <c r="O21" s="124" t="s">
        <v>165</v>
      </c>
      <c r="P21" s="167"/>
      <c r="Q21" s="171">
        <f t="shared" si="3"/>
        <v>0</v>
      </c>
      <c r="R21" s="122" t="s">
        <v>654</v>
      </c>
    </row>
    <row r="22" spans="1:40" ht="210" x14ac:dyDescent="0.25">
      <c r="A22" s="136">
        <v>5</v>
      </c>
      <c r="B22" s="586"/>
      <c r="C22" s="122" t="s">
        <v>626</v>
      </c>
      <c r="D22" s="122" t="s">
        <v>627</v>
      </c>
      <c r="E22" s="122" t="s">
        <v>628</v>
      </c>
      <c r="F22" s="123">
        <v>43466</v>
      </c>
      <c r="G22" s="123">
        <v>43830</v>
      </c>
      <c r="H22" s="601"/>
      <c r="I22" s="601"/>
      <c r="J22" s="601"/>
      <c r="K22" s="604"/>
      <c r="L22" s="138">
        <f t="shared" si="1"/>
        <v>0</v>
      </c>
      <c r="M22" s="124">
        <f t="shared" si="2"/>
        <v>0</v>
      </c>
      <c r="N22" s="124">
        <f t="shared" si="0"/>
        <v>0</v>
      </c>
      <c r="O22" s="124" t="s">
        <v>165</v>
      </c>
      <c r="P22" s="167"/>
      <c r="Q22" s="171">
        <f t="shared" si="3"/>
        <v>0</v>
      </c>
      <c r="R22" s="122" t="s">
        <v>654</v>
      </c>
    </row>
    <row r="23" spans="1:40" ht="183.75" x14ac:dyDescent="0.25">
      <c r="A23" s="136">
        <v>6</v>
      </c>
      <c r="B23" s="587"/>
      <c r="C23" s="122" t="s">
        <v>629</v>
      </c>
      <c r="D23" s="122" t="s">
        <v>630</v>
      </c>
      <c r="E23" s="122" t="s">
        <v>631</v>
      </c>
      <c r="F23" s="123">
        <v>43466</v>
      </c>
      <c r="G23" s="123">
        <v>43830</v>
      </c>
      <c r="H23" s="602"/>
      <c r="I23" s="602"/>
      <c r="J23" s="602"/>
      <c r="K23" s="605"/>
      <c r="L23" s="138">
        <f t="shared" si="1"/>
        <v>0</v>
      </c>
      <c r="M23" s="124">
        <f t="shared" si="2"/>
        <v>0</v>
      </c>
      <c r="N23" s="124">
        <f t="shared" si="0"/>
        <v>0</v>
      </c>
      <c r="O23" s="124" t="s">
        <v>165</v>
      </c>
      <c r="P23" s="167"/>
      <c r="Q23" s="171">
        <f t="shared" si="3"/>
        <v>0</v>
      </c>
      <c r="R23" s="122" t="s">
        <v>654</v>
      </c>
    </row>
    <row r="24" spans="1:40" s="3" customFormat="1" ht="24.75" customHeight="1" x14ac:dyDescent="0.4">
      <c r="A24" s="597" t="s">
        <v>3</v>
      </c>
      <c r="B24" s="598"/>
      <c r="C24" s="598"/>
      <c r="D24" s="598"/>
      <c r="E24" s="598"/>
      <c r="F24" s="598"/>
      <c r="G24" s="599"/>
      <c r="H24" s="350">
        <f>SUM(H18:H23)</f>
        <v>276514</v>
      </c>
      <c r="I24" s="350">
        <f>SUM(I18:I23)</f>
        <v>98491</v>
      </c>
      <c r="J24" s="350">
        <f>SUM(J18:J23)</f>
        <v>197418</v>
      </c>
      <c r="K24" s="350">
        <f>SUM(K18:K23)</f>
        <v>295909</v>
      </c>
      <c r="L24" s="169">
        <f t="shared" si="1"/>
        <v>19395</v>
      </c>
      <c r="M24" s="170">
        <f>IFERROR(L24/H24*100,0)</f>
        <v>7.014111401231041</v>
      </c>
      <c r="N24" s="170">
        <f>SUM(N18:N23)</f>
        <v>100</v>
      </c>
      <c r="O24" s="170"/>
      <c r="P24" s="168">
        <f>SUM(P18:P23)</f>
        <v>0</v>
      </c>
      <c r="Q24" s="140">
        <f>IFERROR(P24/K24*100,)</f>
        <v>0</v>
      </c>
      <c r="R24" s="140"/>
    </row>
    <row r="25" spans="1:40" s="3" customFormat="1" ht="24.75" customHeight="1" x14ac:dyDescent="0.4">
      <c r="A25" s="298"/>
      <c r="B25" s="298"/>
      <c r="C25" s="298"/>
      <c r="D25" s="298"/>
      <c r="E25" s="298"/>
      <c r="F25" s="298"/>
      <c r="G25" s="298"/>
      <c r="H25" s="307"/>
      <c r="I25" s="307"/>
      <c r="J25" s="307"/>
      <c r="K25" s="307"/>
      <c r="L25" s="299"/>
      <c r="M25" s="300"/>
      <c r="N25" s="300"/>
      <c r="O25" s="300"/>
      <c r="P25" s="301"/>
      <c r="Q25" s="302"/>
      <c r="R25" s="302"/>
    </row>
    <row r="26" spans="1:40" s="3" customFormat="1" ht="24.75" customHeight="1" x14ac:dyDescent="0.4">
      <c r="A26" s="298"/>
      <c r="B26" s="298"/>
      <c r="C26" s="298"/>
      <c r="D26" s="298"/>
      <c r="E26" s="298"/>
      <c r="F26" s="298"/>
      <c r="G26" s="298"/>
      <c r="H26" s="362"/>
      <c r="I26" s="362"/>
      <c r="J26" s="362"/>
      <c r="K26" s="362"/>
      <c r="L26" s="299"/>
      <c r="M26" s="300"/>
      <c r="N26" s="300"/>
      <c r="O26" s="300"/>
      <c r="P26" s="301"/>
      <c r="Q26" s="302"/>
      <c r="R26" s="302"/>
    </row>
    <row r="27" spans="1:40" x14ac:dyDescent="0.4">
      <c r="A27" s="589" t="s">
        <v>116</v>
      </c>
      <c r="B27" s="589"/>
      <c r="C27" s="589"/>
      <c r="D27" s="589"/>
      <c r="E27" s="589"/>
      <c r="F27" s="589"/>
      <c r="G27" s="589"/>
      <c r="H27" s="589"/>
      <c r="I27" s="589"/>
      <c r="J27" s="589"/>
      <c r="K27" s="589"/>
      <c r="L27" s="589"/>
      <c r="M27" s="589"/>
      <c r="N27" s="589"/>
      <c r="O27" s="589"/>
      <c r="P27" s="589"/>
      <c r="Q27" s="589"/>
      <c r="R27" s="589"/>
    </row>
    <row r="28" spans="1:40" ht="36" customHeight="1" x14ac:dyDescent="0.25">
      <c r="A28" s="590" t="s">
        <v>179</v>
      </c>
      <c r="B28" s="591"/>
      <c r="C28" s="591"/>
      <c r="D28" s="591"/>
      <c r="E28" s="591"/>
      <c r="F28" s="591"/>
      <c r="G28" s="591"/>
      <c r="H28" s="591"/>
      <c r="I28" s="591"/>
      <c r="J28" s="591"/>
      <c r="K28" s="591"/>
      <c r="L28" s="591"/>
      <c r="M28" s="591"/>
      <c r="N28" s="591"/>
      <c r="O28" s="591"/>
      <c r="P28" s="591"/>
      <c r="Q28" s="591"/>
      <c r="R28" s="592"/>
    </row>
    <row r="29" spans="1:40" ht="95.25" customHeight="1" x14ac:dyDescent="0.4">
      <c r="A29" s="593"/>
      <c r="B29" s="594"/>
      <c r="C29" s="594"/>
      <c r="D29" s="594"/>
      <c r="E29" s="594"/>
      <c r="F29" s="594"/>
      <c r="G29" s="594"/>
      <c r="H29" s="594"/>
      <c r="I29" s="594"/>
      <c r="J29" s="594"/>
      <c r="K29" s="594"/>
      <c r="L29" s="594"/>
      <c r="M29" s="594"/>
      <c r="N29" s="594"/>
      <c r="O29" s="594"/>
      <c r="P29" s="594"/>
      <c r="Q29" s="594"/>
      <c r="R29" s="595"/>
    </row>
    <row r="30" spans="1:40" ht="15" hidden="1" customHeight="1" x14ac:dyDescent="0.4">
      <c r="A30" s="596" t="s">
        <v>12</v>
      </c>
      <c r="B30" s="596"/>
      <c r="C30" s="596"/>
      <c r="D30" s="596"/>
      <c r="E30" s="596"/>
      <c r="F30" s="596"/>
      <c r="G30" s="141"/>
      <c r="H30" s="141"/>
      <c r="I30" s="141"/>
      <c r="J30" s="141"/>
      <c r="K30" s="141"/>
      <c r="L30" s="141"/>
      <c r="M30" s="141"/>
      <c r="N30" s="141"/>
      <c r="O30" s="141"/>
      <c r="P30" s="141"/>
      <c r="Q30" s="141"/>
      <c r="R30" s="141"/>
    </row>
    <row r="31" spans="1:40" ht="15" hidden="1" customHeight="1" x14ac:dyDescent="0.4">
      <c r="A31" s="142" t="s">
        <v>16</v>
      </c>
      <c r="B31" s="142"/>
      <c r="C31" s="588" t="s">
        <v>20</v>
      </c>
      <c r="D31" s="588"/>
      <c r="E31" s="588"/>
      <c r="F31" s="588"/>
      <c r="P31" s="77"/>
      <c r="Q31" s="77"/>
      <c r="R31" s="77"/>
    </row>
    <row r="32" spans="1:40" ht="15" hidden="1" customHeight="1" x14ac:dyDescent="0.4">
      <c r="A32" s="142" t="s">
        <v>17</v>
      </c>
      <c r="B32" s="142"/>
      <c r="C32" s="588" t="s">
        <v>13</v>
      </c>
      <c r="D32" s="588"/>
      <c r="E32" s="588"/>
      <c r="F32" s="588"/>
      <c r="P32" s="77"/>
      <c r="Q32" s="77"/>
      <c r="R32" s="77"/>
    </row>
    <row r="33" spans="1:18" ht="15" hidden="1" customHeight="1" x14ac:dyDescent="0.4">
      <c r="A33" s="142" t="s">
        <v>18</v>
      </c>
      <c r="B33" s="142"/>
      <c r="C33" s="588" t="s">
        <v>14</v>
      </c>
      <c r="D33" s="588"/>
      <c r="E33" s="588"/>
      <c r="F33" s="588"/>
      <c r="P33" s="77"/>
      <c r="Q33" s="77"/>
      <c r="R33" s="77"/>
    </row>
    <row r="34" spans="1:18" ht="15" hidden="1" customHeight="1" x14ac:dyDescent="0.4">
      <c r="A34" s="142" t="s">
        <v>19</v>
      </c>
      <c r="B34" s="142"/>
      <c r="C34" s="588" t="s">
        <v>15</v>
      </c>
      <c r="D34" s="588"/>
      <c r="E34" s="588"/>
      <c r="F34" s="588"/>
      <c r="P34" s="77"/>
      <c r="Q34" s="77"/>
      <c r="R34" s="77"/>
    </row>
    <row r="35" spans="1:18" ht="35.25" customHeight="1" x14ac:dyDescent="0.4"/>
  </sheetData>
  <sheetProtection formatCells="0" formatRows="0" insertRows="0" deleteRows="0"/>
  <mergeCells count="50">
    <mergeCell ref="A12:F12"/>
    <mergeCell ref="G12:R12"/>
    <mergeCell ref="H18:H23"/>
    <mergeCell ref="I18:I23"/>
    <mergeCell ref="J18:J23"/>
    <mergeCell ref="K18:K23"/>
    <mergeCell ref="B18:B23"/>
    <mergeCell ref="R15:R17"/>
    <mergeCell ref="H16:H17"/>
    <mergeCell ref="C15:E15"/>
    <mergeCell ref="F15:G15"/>
    <mergeCell ref="H15:K15"/>
    <mergeCell ref="A13:F13"/>
    <mergeCell ref="G13:R13"/>
    <mergeCell ref="A14:R14"/>
    <mergeCell ref="C33:F33"/>
    <mergeCell ref="C34:F34"/>
    <mergeCell ref="A27:R27"/>
    <mergeCell ref="A28:R28"/>
    <mergeCell ref="A29:R29"/>
    <mergeCell ref="A30:F30"/>
    <mergeCell ref="C31:F31"/>
    <mergeCell ref="C32:F32"/>
    <mergeCell ref="A24:G24"/>
    <mergeCell ref="L15:M15"/>
    <mergeCell ref="N15:N17"/>
    <mergeCell ref="O15:O17"/>
    <mergeCell ref="P15:Q15"/>
    <mergeCell ref="A15:A17"/>
    <mergeCell ref="B15:B17"/>
    <mergeCell ref="I16:K16"/>
    <mergeCell ref="L16:L17"/>
    <mergeCell ref="M16:M17"/>
    <mergeCell ref="P16:P17"/>
    <mergeCell ref="Q16:Q17"/>
    <mergeCell ref="C16:C17"/>
    <mergeCell ref="D16:E16"/>
    <mergeCell ref="F16:F17"/>
    <mergeCell ref="G16:G17"/>
    <mergeCell ref="A9:F9"/>
    <mergeCell ref="G9:R9"/>
    <mergeCell ref="A10:F10"/>
    <mergeCell ref="G10:R10"/>
    <mergeCell ref="A11:F11"/>
    <mergeCell ref="G11:R11"/>
    <mergeCell ref="A6:R6"/>
    <mergeCell ref="A7:F7"/>
    <mergeCell ref="G7:R7"/>
    <mergeCell ref="A8:F8"/>
    <mergeCell ref="G8:R8"/>
  </mergeCells>
  <dataValidations count="1">
    <dataValidation type="list" allowBlank="1" showInputMessage="1" showErrorMessage="1" sqref="O18:O23">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1"/>
  <sheetViews>
    <sheetView showGridLines="0" zoomScale="40" zoomScaleNormal="40" zoomScaleSheetLayoutView="80" workbookViewId="0">
      <selection activeCell="M22" sqref="M22"/>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368</v>
      </c>
      <c r="H7" s="572"/>
      <c r="I7" s="572"/>
      <c r="J7" s="572"/>
      <c r="K7" s="572"/>
      <c r="L7" s="572"/>
      <c r="M7" s="572"/>
      <c r="N7" s="572"/>
      <c r="O7" s="572"/>
      <c r="P7" s="572"/>
      <c r="Q7" s="572"/>
      <c r="R7" s="572"/>
      <c r="S7" s="2" t="b">
        <f>G7='Quadro Geral'!A36</f>
        <v>1</v>
      </c>
    </row>
    <row r="8" spans="1:19" ht="54" customHeight="1" x14ac:dyDescent="0.4">
      <c r="A8" s="571" t="s">
        <v>140</v>
      </c>
      <c r="B8" s="571"/>
      <c r="C8" s="571"/>
      <c r="D8" s="571"/>
      <c r="E8" s="571"/>
      <c r="F8" s="571"/>
      <c r="G8" s="572" t="s">
        <v>638</v>
      </c>
      <c r="H8" s="572"/>
      <c r="I8" s="572"/>
      <c r="J8" s="572"/>
      <c r="K8" s="572"/>
      <c r="L8" s="572"/>
      <c r="M8" s="572"/>
      <c r="N8" s="572"/>
      <c r="O8" s="572"/>
      <c r="P8" s="572"/>
      <c r="Q8" s="572"/>
      <c r="R8" s="572"/>
    </row>
    <row r="9" spans="1:19" ht="54" customHeight="1" x14ac:dyDescent="0.4">
      <c r="A9" s="571" t="s">
        <v>153</v>
      </c>
      <c r="B9" s="571"/>
      <c r="C9" s="571"/>
      <c r="D9" s="571"/>
      <c r="E9" s="571"/>
      <c r="F9" s="571"/>
      <c r="G9" s="572" t="s">
        <v>639</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412</v>
      </c>
      <c r="H10" s="572"/>
      <c r="I10" s="572"/>
      <c r="J10" s="572"/>
      <c r="K10" s="572"/>
      <c r="L10" s="572"/>
      <c r="M10" s="572"/>
      <c r="N10" s="572"/>
      <c r="O10" s="572"/>
      <c r="P10" s="572"/>
      <c r="Q10" s="572"/>
      <c r="R10" s="572"/>
      <c r="S10" s="2" t="b">
        <f>G10='Quadro Geral'!E36</f>
        <v>1</v>
      </c>
    </row>
    <row r="11" spans="1:19" ht="54" customHeight="1" x14ac:dyDescent="0.4">
      <c r="A11" s="571" t="s">
        <v>154</v>
      </c>
      <c r="B11" s="571"/>
      <c r="C11" s="571"/>
      <c r="D11" s="571"/>
      <c r="E11" s="571"/>
      <c r="F11" s="571"/>
      <c r="G11" s="572" t="s">
        <v>440</v>
      </c>
      <c r="H11" s="572"/>
      <c r="I11" s="572"/>
      <c r="J11" s="572"/>
      <c r="K11" s="572"/>
      <c r="L11" s="572"/>
      <c r="M11" s="572"/>
      <c r="N11" s="572"/>
      <c r="O11" s="572"/>
      <c r="P11" s="572"/>
      <c r="Q11" s="572"/>
      <c r="R11" s="572"/>
      <c r="S11" s="2" t="b">
        <f>G11='Quadro Geral'!F36</f>
        <v>1</v>
      </c>
    </row>
    <row r="12" spans="1:19" ht="54" customHeight="1" x14ac:dyDescent="0.4">
      <c r="A12" s="571" t="s">
        <v>142</v>
      </c>
      <c r="B12" s="571"/>
      <c r="C12" s="571"/>
      <c r="D12" s="571"/>
      <c r="E12" s="571"/>
      <c r="F12" s="571"/>
      <c r="G12" s="572" t="s">
        <v>53</v>
      </c>
      <c r="H12" s="572"/>
      <c r="I12" s="572"/>
      <c r="J12" s="572"/>
      <c r="K12" s="572"/>
      <c r="L12" s="572"/>
      <c r="M12" s="572"/>
      <c r="N12" s="572"/>
      <c r="O12" s="572"/>
      <c r="P12" s="572"/>
      <c r="Q12" s="572"/>
      <c r="R12" s="572"/>
      <c r="S12" s="2" t="b">
        <f>G12='Quadro Geral'!G36</f>
        <v>1</v>
      </c>
    </row>
    <row r="13" spans="1:19" ht="54" customHeight="1" x14ac:dyDescent="0.4">
      <c r="A13" s="383" t="s">
        <v>155</v>
      </c>
      <c r="B13" s="383"/>
      <c r="C13" s="383"/>
      <c r="D13" s="383"/>
      <c r="E13" s="383"/>
      <c r="F13" s="383"/>
      <c r="G13" s="573" t="s">
        <v>467</v>
      </c>
      <c r="H13" s="573"/>
      <c r="I13" s="573"/>
      <c r="J13" s="573"/>
      <c r="K13" s="573"/>
      <c r="L13" s="573"/>
      <c r="M13" s="573"/>
      <c r="N13" s="573"/>
      <c r="O13" s="573"/>
      <c r="P13" s="573"/>
      <c r="Q13" s="573"/>
      <c r="R13" s="573"/>
      <c r="S13" s="2" t="b">
        <f>G13='Quadro Geral'!H36</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73" t="s">
        <v>161</v>
      </c>
      <c r="E17" s="273" t="s">
        <v>162</v>
      </c>
      <c r="F17" s="575"/>
      <c r="G17" s="575"/>
      <c r="H17" s="575"/>
      <c r="I17" s="273" t="s">
        <v>217</v>
      </c>
      <c r="J17" s="273" t="s">
        <v>223</v>
      </c>
      <c r="K17" s="273" t="s">
        <v>224</v>
      </c>
      <c r="L17" s="575"/>
      <c r="M17" s="575"/>
      <c r="N17" s="579"/>
      <c r="O17" s="582"/>
      <c r="P17" s="584"/>
      <c r="Q17" s="584"/>
      <c r="R17" s="575"/>
      <c r="AN17" s="2" t="s">
        <v>165</v>
      </c>
    </row>
    <row r="18" spans="1:40" ht="183.75" x14ac:dyDescent="0.25">
      <c r="A18" s="136">
        <v>1</v>
      </c>
      <c r="B18" s="585" t="s">
        <v>641</v>
      </c>
      <c r="C18" s="122" t="s">
        <v>632</v>
      </c>
      <c r="D18" s="122" t="s">
        <v>633</v>
      </c>
      <c r="E18" s="122" t="s">
        <v>634</v>
      </c>
      <c r="F18" s="123">
        <v>43466</v>
      </c>
      <c r="G18" s="123">
        <v>43830</v>
      </c>
      <c r="H18" s="609">
        <v>70000</v>
      </c>
      <c r="I18" s="600">
        <v>0</v>
      </c>
      <c r="J18" s="600">
        <v>60000</v>
      </c>
      <c r="K18" s="603">
        <f>I18+J18</f>
        <v>60000</v>
      </c>
      <c r="L18" s="138">
        <f>K18-H18</f>
        <v>-10000</v>
      </c>
      <c r="M18" s="124">
        <f>IFERROR(L18/H18*100,0)</f>
        <v>-14.285714285714285</v>
      </c>
      <c r="N18" s="124">
        <f>IFERROR(K18/$K$20*100,0)</f>
        <v>100</v>
      </c>
      <c r="O18" s="124" t="s">
        <v>165</v>
      </c>
      <c r="P18" s="167"/>
      <c r="Q18" s="171">
        <f>IFERROR(P18/K18*100,)</f>
        <v>0</v>
      </c>
      <c r="R18" s="122" t="s">
        <v>644</v>
      </c>
      <c r="AN18" s="2" t="s">
        <v>237</v>
      </c>
    </row>
    <row r="19" spans="1:40" ht="131.25" x14ac:dyDescent="0.25">
      <c r="A19" s="136">
        <v>2</v>
      </c>
      <c r="B19" s="587"/>
      <c r="C19" s="122" t="s">
        <v>635</v>
      </c>
      <c r="D19" s="122" t="s">
        <v>636</v>
      </c>
      <c r="E19" s="276" t="s">
        <v>637</v>
      </c>
      <c r="F19" s="123">
        <v>43466</v>
      </c>
      <c r="G19" s="123">
        <v>43830</v>
      </c>
      <c r="H19" s="610"/>
      <c r="I19" s="602"/>
      <c r="J19" s="602"/>
      <c r="K19" s="605"/>
      <c r="L19" s="138">
        <f t="shared" ref="L19:L20" si="0">K19-H19</f>
        <v>0</v>
      </c>
      <c r="M19" s="124">
        <f t="shared" ref="M19" si="1">IFERROR(L19/H19*100,0)</f>
        <v>0</v>
      </c>
      <c r="N19" s="124">
        <f>IFERROR(K19/$K$20*100,0)</f>
        <v>0</v>
      </c>
      <c r="O19" s="124" t="s">
        <v>165</v>
      </c>
      <c r="P19" s="167"/>
      <c r="Q19" s="171">
        <f t="shared" ref="Q19" si="2">IFERROR(P19/K19*100,)</f>
        <v>0</v>
      </c>
      <c r="R19" s="122" t="s">
        <v>644</v>
      </c>
    </row>
    <row r="20" spans="1:40" s="3" customFormat="1" ht="24.75" customHeight="1" x14ac:dyDescent="0.4">
      <c r="A20" s="597" t="s">
        <v>3</v>
      </c>
      <c r="B20" s="598"/>
      <c r="C20" s="598"/>
      <c r="D20" s="598"/>
      <c r="E20" s="598"/>
      <c r="F20" s="598"/>
      <c r="G20" s="599"/>
      <c r="H20" s="139">
        <f>SUM(H18:H19)</f>
        <v>70000</v>
      </c>
      <c r="I20" s="139">
        <f>SUM(I18:I19)</f>
        <v>0</v>
      </c>
      <c r="J20" s="139">
        <f>SUM(J18:J19)</f>
        <v>60000</v>
      </c>
      <c r="K20" s="139">
        <f>SUM(K18:K19)</f>
        <v>60000</v>
      </c>
      <c r="L20" s="169">
        <f t="shared" si="0"/>
        <v>-10000</v>
      </c>
      <c r="M20" s="170">
        <f>IFERROR(L20/H20*100,0)</f>
        <v>-14.285714285714285</v>
      </c>
      <c r="N20" s="170">
        <f>SUM(N18:N19)</f>
        <v>100</v>
      </c>
      <c r="O20" s="170"/>
      <c r="P20" s="168">
        <f>SUM(P18:P19)</f>
        <v>0</v>
      </c>
      <c r="Q20" s="140">
        <f>IFERROR(P20/K20*100,)</f>
        <v>0</v>
      </c>
      <c r="R20" s="140"/>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s="3" customFormat="1" ht="24.75" customHeight="1" x14ac:dyDescent="0.4">
      <c r="A22" s="298"/>
      <c r="B22" s="298"/>
      <c r="C22" s="298"/>
      <c r="D22" s="298"/>
      <c r="E22" s="298"/>
      <c r="F22" s="298"/>
      <c r="G22" s="298"/>
      <c r="H22" s="307"/>
      <c r="I22" s="307"/>
      <c r="J22" s="307"/>
      <c r="K22" s="307"/>
      <c r="L22" s="299"/>
      <c r="M22" s="300"/>
      <c r="N22" s="300"/>
      <c r="O22" s="300"/>
      <c r="P22" s="301"/>
      <c r="Q22" s="302"/>
      <c r="R22" s="302"/>
    </row>
    <row r="23" spans="1:40" x14ac:dyDescent="0.4">
      <c r="A23" s="589" t="s">
        <v>116</v>
      </c>
      <c r="B23" s="589"/>
      <c r="C23" s="589"/>
      <c r="D23" s="589"/>
      <c r="E23" s="589"/>
      <c r="F23" s="589"/>
      <c r="G23" s="589"/>
      <c r="H23" s="589"/>
      <c r="I23" s="589"/>
      <c r="J23" s="589"/>
      <c r="K23" s="589"/>
      <c r="L23" s="589"/>
      <c r="M23" s="589"/>
      <c r="N23" s="589"/>
      <c r="O23" s="589"/>
      <c r="P23" s="589"/>
      <c r="Q23" s="589"/>
      <c r="R23" s="589"/>
    </row>
    <row r="24" spans="1:40" ht="36" customHeight="1" x14ac:dyDescent="0.25">
      <c r="A24" s="590" t="s">
        <v>179</v>
      </c>
      <c r="B24" s="591"/>
      <c r="C24" s="591"/>
      <c r="D24" s="591"/>
      <c r="E24" s="591"/>
      <c r="F24" s="591"/>
      <c r="G24" s="591"/>
      <c r="H24" s="591"/>
      <c r="I24" s="591"/>
      <c r="J24" s="591"/>
      <c r="K24" s="591"/>
      <c r="L24" s="591"/>
      <c r="M24" s="591"/>
      <c r="N24" s="591"/>
      <c r="O24" s="591"/>
      <c r="P24" s="591"/>
      <c r="Q24" s="591"/>
      <c r="R24" s="592"/>
    </row>
    <row r="25" spans="1:40" ht="95.25" customHeight="1" x14ac:dyDescent="0.4">
      <c r="A25" s="593"/>
      <c r="B25" s="594"/>
      <c r="C25" s="594"/>
      <c r="D25" s="594"/>
      <c r="E25" s="594"/>
      <c r="F25" s="594"/>
      <c r="G25" s="594"/>
      <c r="H25" s="594"/>
      <c r="I25" s="594"/>
      <c r="J25" s="594"/>
      <c r="K25" s="594"/>
      <c r="L25" s="594"/>
      <c r="M25" s="594"/>
      <c r="N25" s="594"/>
      <c r="O25" s="594"/>
      <c r="P25" s="594"/>
      <c r="Q25" s="594"/>
      <c r="R25" s="595"/>
    </row>
    <row r="26" spans="1:40" ht="15" hidden="1" customHeight="1" x14ac:dyDescent="0.4">
      <c r="A26" s="596" t="s">
        <v>12</v>
      </c>
      <c r="B26" s="596"/>
      <c r="C26" s="596"/>
      <c r="D26" s="596"/>
      <c r="E26" s="596"/>
      <c r="F26" s="596"/>
      <c r="G26" s="141"/>
      <c r="H26" s="141"/>
      <c r="I26" s="141"/>
      <c r="J26" s="141"/>
      <c r="K26" s="141"/>
      <c r="L26" s="141"/>
      <c r="M26" s="141"/>
      <c r="N26" s="141"/>
      <c r="O26" s="141"/>
      <c r="P26" s="141"/>
      <c r="Q26" s="141"/>
      <c r="R26" s="141"/>
    </row>
    <row r="27" spans="1:40" ht="15" hidden="1" customHeight="1" x14ac:dyDescent="0.4">
      <c r="A27" s="142" t="s">
        <v>16</v>
      </c>
      <c r="B27" s="142"/>
      <c r="C27" s="588" t="s">
        <v>20</v>
      </c>
      <c r="D27" s="588"/>
      <c r="E27" s="588"/>
      <c r="F27" s="588"/>
      <c r="P27" s="77"/>
      <c r="Q27" s="77"/>
      <c r="R27" s="77"/>
    </row>
    <row r="28" spans="1:40" ht="15" hidden="1" customHeight="1" x14ac:dyDescent="0.4">
      <c r="A28" s="142" t="s">
        <v>17</v>
      </c>
      <c r="B28" s="142"/>
      <c r="C28" s="588" t="s">
        <v>13</v>
      </c>
      <c r="D28" s="588"/>
      <c r="E28" s="588"/>
      <c r="F28" s="588"/>
      <c r="P28" s="77"/>
      <c r="Q28" s="77"/>
      <c r="R28" s="77"/>
    </row>
    <row r="29" spans="1:40" ht="15" hidden="1" customHeight="1" x14ac:dyDescent="0.4">
      <c r="A29" s="142" t="s">
        <v>18</v>
      </c>
      <c r="B29" s="142"/>
      <c r="C29" s="588" t="s">
        <v>14</v>
      </c>
      <c r="D29" s="588"/>
      <c r="E29" s="588"/>
      <c r="F29" s="588"/>
      <c r="P29" s="77"/>
      <c r="Q29" s="77"/>
      <c r="R29" s="77"/>
    </row>
    <row r="30" spans="1:40" ht="15" hidden="1" customHeight="1" x14ac:dyDescent="0.4">
      <c r="A30" s="142" t="s">
        <v>19</v>
      </c>
      <c r="B30" s="142"/>
      <c r="C30" s="588" t="s">
        <v>15</v>
      </c>
      <c r="D30" s="588"/>
      <c r="E30" s="588"/>
      <c r="F30" s="588"/>
      <c r="P30" s="77"/>
      <c r="Q30" s="77"/>
      <c r="R30" s="77"/>
    </row>
    <row r="31" spans="1:40" ht="35.25" customHeight="1" x14ac:dyDescent="0.4"/>
  </sheetData>
  <sheetProtection formatCells="0" formatRows="0" insertRows="0" deleteRows="0"/>
  <mergeCells count="50">
    <mergeCell ref="Q16:Q17"/>
    <mergeCell ref="A20:G20"/>
    <mergeCell ref="H18:H19"/>
    <mergeCell ref="I18:I19"/>
    <mergeCell ref="J18:J19"/>
    <mergeCell ref="K18:K19"/>
    <mergeCell ref="B18:B19"/>
    <mergeCell ref="P15:Q15"/>
    <mergeCell ref="R15:R17"/>
    <mergeCell ref="C29:F29"/>
    <mergeCell ref="C30:F30"/>
    <mergeCell ref="A11:F11"/>
    <mergeCell ref="G11:R11"/>
    <mergeCell ref="A23:R23"/>
    <mergeCell ref="A24:R24"/>
    <mergeCell ref="A25:R25"/>
    <mergeCell ref="A26:F26"/>
    <mergeCell ref="C27:F27"/>
    <mergeCell ref="C28:F28"/>
    <mergeCell ref="I16:K16"/>
    <mergeCell ref="L16:L17"/>
    <mergeCell ref="M16:M17"/>
    <mergeCell ref="P16:P17"/>
    <mergeCell ref="A13:F13"/>
    <mergeCell ref="G13:R13"/>
    <mergeCell ref="A14:R14"/>
    <mergeCell ref="A15:A17"/>
    <mergeCell ref="B15:B17"/>
    <mergeCell ref="C15:E15"/>
    <mergeCell ref="F15:G15"/>
    <mergeCell ref="H15:K15"/>
    <mergeCell ref="C16:C17"/>
    <mergeCell ref="D16:E16"/>
    <mergeCell ref="F16:F17"/>
    <mergeCell ref="G16:G17"/>
    <mergeCell ref="H16:H17"/>
    <mergeCell ref="L15:M15"/>
    <mergeCell ref="N15:N17"/>
    <mergeCell ref="O15:O17"/>
    <mergeCell ref="A9:F9"/>
    <mergeCell ref="G9:R9"/>
    <mergeCell ref="A10:F10"/>
    <mergeCell ref="G10:R10"/>
    <mergeCell ref="A12:F12"/>
    <mergeCell ref="G12:R12"/>
    <mergeCell ref="A6:R6"/>
    <mergeCell ref="A7:F7"/>
    <mergeCell ref="G7:R7"/>
    <mergeCell ref="A8:F8"/>
    <mergeCell ref="G8:R8"/>
  </mergeCells>
  <dataValidations count="1">
    <dataValidation type="list" allowBlank="1" showInputMessage="1" showErrorMessage="1" sqref="O18:O19">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H20" sqref="H20:K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8.85546875" style="2"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372</v>
      </c>
      <c r="H7" s="572"/>
      <c r="I7" s="572"/>
      <c r="J7" s="572"/>
      <c r="K7" s="572"/>
      <c r="L7" s="572"/>
      <c r="M7" s="572"/>
      <c r="N7" s="572"/>
      <c r="O7" s="572"/>
      <c r="P7" s="572"/>
      <c r="Q7" s="572"/>
      <c r="R7" s="572"/>
      <c r="S7" s="2" t="b">
        <f>G7='Quadro Geral'!A24</f>
        <v>1</v>
      </c>
    </row>
    <row r="8" spans="1:19" ht="54" customHeight="1" x14ac:dyDescent="0.4">
      <c r="A8" s="571" t="s">
        <v>140</v>
      </c>
      <c r="B8" s="571"/>
      <c r="C8" s="571"/>
      <c r="D8" s="571"/>
      <c r="E8" s="571"/>
      <c r="F8" s="571"/>
      <c r="G8" s="572" t="s">
        <v>657</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401</v>
      </c>
      <c r="H10" s="572"/>
      <c r="I10" s="572"/>
      <c r="J10" s="572"/>
      <c r="K10" s="572"/>
      <c r="L10" s="572"/>
      <c r="M10" s="572"/>
      <c r="N10" s="572"/>
      <c r="O10" s="572"/>
      <c r="P10" s="572"/>
      <c r="Q10" s="572"/>
      <c r="R10" s="572"/>
      <c r="S10" s="2" t="b">
        <f>G10='Quadro Geral'!E24</f>
        <v>1</v>
      </c>
    </row>
    <row r="11" spans="1:19" ht="54" customHeight="1" x14ac:dyDescent="0.4">
      <c r="A11" s="571" t="s">
        <v>154</v>
      </c>
      <c r="B11" s="571"/>
      <c r="C11" s="571"/>
      <c r="D11" s="571"/>
      <c r="E11" s="571"/>
      <c r="F11" s="571"/>
      <c r="G11" s="572" t="s">
        <v>429</v>
      </c>
      <c r="H11" s="572"/>
      <c r="I11" s="572"/>
      <c r="J11" s="572"/>
      <c r="K11" s="572"/>
      <c r="L11" s="572"/>
      <c r="M11" s="572"/>
      <c r="N11" s="572"/>
      <c r="O11" s="572"/>
      <c r="P11" s="572"/>
      <c r="Q11" s="572"/>
      <c r="R11" s="572"/>
      <c r="S11" s="2" t="b">
        <f>G11='Quadro Geral'!F24</f>
        <v>1</v>
      </c>
    </row>
    <row r="12" spans="1:19" ht="54" customHeight="1" x14ac:dyDescent="0.4">
      <c r="A12" s="571" t="s">
        <v>142</v>
      </c>
      <c r="B12" s="571"/>
      <c r="C12" s="571"/>
      <c r="D12" s="571"/>
      <c r="E12" s="571"/>
      <c r="F12" s="571"/>
      <c r="G12" s="572" t="s">
        <v>64</v>
      </c>
      <c r="H12" s="572"/>
      <c r="I12" s="572"/>
      <c r="J12" s="572"/>
      <c r="K12" s="572"/>
      <c r="L12" s="572"/>
      <c r="M12" s="572"/>
      <c r="N12" s="572"/>
      <c r="O12" s="572"/>
      <c r="P12" s="572"/>
      <c r="Q12" s="572"/>
      <c r="R12" s="572"/>
      <c r="S12" s="2" t="b">
        <f>G12='Quadro Geral'!G24</f>
        <v>1</v>
      </c>
    </row>
    <row r="13" spans="1:19" ht="54" customHeight="1" x14ac:dyDescent="0.4">
      <c r="A13" s="383" t="s">
        <v>155</v>
      </c>
      <c r="B13" s="383"/>
      <c r="C13" s="383"/>
      <c r="D13" s="383"/>
      <c r="E13" s="383"/>
      <c r="F13" s="383"/>
      <c r="G13" s="573" t="s">
        <v>457</v>
      </c>
      <c r="H13" s="573"/>
      <c r="I13" s="573"/>
      <c r="J13" s="573"/>
      <c r="K13" s="573"/>
      <c r="L13" s="573"/>
      <c r="M13" s="573"/>
      <c r="N13" s="573"/>
      <c r="O13" s="573"/>
      <c r="P13" s="573"/>
      <c r="Q13" s="573"/>
      <c r="R13" s="573"/>
      <c r="S13" s="2" t="b">
        <f>G13='Quadro Geral'!H24</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84" t="s">
        <v>161</v>
      </c>
      <c r="E17" s="284" t="s">
        <v>162</v>
      </c>
      <c r="F17" s="575"/>
      <c r="G17" s="575"/>
      <c r="H17" s="575"/>
      <c r="I17" s="284" t="s">
        <v>217</v>
      </c>
      <c r="J17" s="284" t="s">
        <v>223</v>
      </c>
      <c r="K17" s="284" t="s">
        <v>224</v>
      </c>
      <c r="L17" s="575"/>
      <c r="M17" s="575"/>
      <c r="N17" s="579"/>
      <c r="O17" s="582"/>
      <c r="P17" s="584"/>
      <c r="Q17" s="584"/>
      <c r="R17" s="575"/>
      <c r="AN17" s="2" t="s">
        <v>165</v>
      </c>
    </row>
    <row r="18" spans="1:40" ht="131.25" x14ac:dyDescent="0.25">
      <c r="A18" s="136">
        <v>1</v>
      </c>
      <c r="B18" s="136" t="s">
        <v>641</v>
      </c>
      <c r="C18" s="122" t="s">
        <v>147</v>
      </c>
      <c r="D18" s="136" t="s">
        <v>655</v>
      </c>
      <c r="E18" s="122" t="s">
        <v>656</v>
      </c>
      <c r="F18" s="123">
        <v>43466</v>
      </c>
      <c r="G18" s="123">
        <v>43830</v>
      </c>
      <c r="H18" s="292">
        <v>62980</v>
      </c>
      <c r="I18" s="292">
        <v>26242</v>
      </c>
      <c r="J18" s="292">
        <v>26242</v>
      </c>
      <c r="K18" s="220">
        <f>I18+J18</f>
        <v>52484</v>
      </c>
      <c r="L18" s="138">
        <f>K18-H18</f>
        <v>-10496</v>
      </c>
      <c r="M18" s="124">
        <f>IFERROR(L18/H18*100,0)</f>
        <v>-16.665608129564941</v>
      </c>
      <c r="N18" s="124">
        <f>IFERROR(K18/$K$19*100,0)</f>
        <v>100</v>
      </c>
      <c r="O18" s="124" t="s">
        <v>165</v>
      </c>
      <c r="P18" s="167"/>
      <c r="Q18" s="171">
        <f>IFERROR(P18/K18*100,)</f>
        <v>0</v>
      </c>
      <c r="R18" s="122" t="s">
        <v>657</v>
      </c>
      <c r="AN18" s="2" t="s">
        <v>237</v>
      </c>
    </row>
    <row r="19" spans="1:40" s="3" customFormat="1" ht="24.75" customHeight="1" x14ac:dyDescent="0.4">
      <c r="A19" s="597" t="s">
        <v>3</v>
      </c>
      <c r="B19" s="598"/>
      <c r="C19" s="598"/>
      <c r="D19" s="598"/>
      <c r="E19" s="598"/>
      <c r="F19" s="598"/>
      <c r="G19" s="599"/>
      <c r="H19" s="139">
        <f>SUM(H18:H18)</f>
        <v>62980</v>
      </c>
      <c r="I19" s="139">
        <f>SUM(I18:I18)</f>
        <v>26242</v>
      </c>
      <c r="J19" s="139">
        <f>SUM(J18:J18)</f>
        <v>26242</v>
      </c>
      <c r="K19" s="139">
        <f>SUM(K18:K18)</f>
        <v>52484</v>
      </c>
      <c r="L19" s="169">
        <f t="shared" ref="L19" si="0">K19-H19</f>
        <v>-10496</v>
      </c>
      <c r="M19" s="170">
        <f>IFERROR(L19/H19*100,0)</f>
        <v>-16.665608129564941</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299"/>
      <c r="M20" s="300"/>
      <c r="N20" s="300"/>
      <c r="O20" s="300"/>
      <c r="P20" s="301"/>
      <c r="Q20" s="302"/>
      <c r="R20" s="302"/>
    </row>
    <row r="21" spans="1:40" s="3" customFormat="1" ht="24.75" customHeight="1" x14ac:dyDescent="0.4">
      <c r="A21" s="298"/>
      <c r="B21" s="298"/>
      <c r="C21" s="298"/>
      <c r="D21" s="298"/>
      <c r="E21" s="298"/>
      <c r="F21" s="298"/>
      <c r="G21" s="298"/>
      <c r="H21" s="307"/>
      <c r="I21" s="362"/>
      <c r="J21" s="362"/>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19:G19"/>
    <mergeCell ref="P15:Q15"/>
    <mergeCell ref="R15:R17"/>
    <mergeCell ref="C28:F28"/>
    <mergeCell ref="A15:A17"/>
    <mergeCell ref="B15:B17"/>
    <mergeCell ref="C15:E15"/>
    <mergeCell ref="F15:G15"/>
    <mergeCell ref="H15:K15"/>
    <mergeCell ref="C16:C17"/>
    <mergeCell ref="D16:E16"/>
    <mergeCell ref="F16:F17"/>
    <mergeCell ref="G16:G17"/>
    <mergeCell ref="H16:H17"/>
    <mergeCell ref="L15:M15"/>
    <mergeCell ref="N15:N17"/>
    <mergeCell ref="C29:F29"/>
    <mergeCell ref="A12:F12"/>
    <mergeCell ref="G12:R12"/>
    <mergeCell ref="A22:R22"/>
    <mergeCell ref="A23:R23"/>
    <mergeCell ref="A24:R24"/>
    <mergeCell ref="A25:F25"/>
    <mergeCell ref="C26:F26"/>
    <mergeCell ref="C27:F27"/>
    <mergeCell ref="I16:K16"/>
    <mergeCell ref="L16:L17"/>
    <mergeCell ref="M16:M17"/>
    <mergeCell ref="P16:P17"/>
    <mergeCell ref="A13:F13"/>
    <mergeCell ref="G13:R13"/>
    <mergeCell ref="A14:R14"/>
    <mergeCell ref="O15:O17"/>
    <mergeCell ref="A9:F9"/>
    <mergeCell ref="G9:R9"/>
    <mergeCell ref="A10:F10"/>
    <mergeCell ref="G10:R10"/>
    <mergeCell ref="A11:F11"/>
    <mergeCell ref="G11:R11"/>
    <mergeCell ref="Q16:Q17"/>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tabColor rgb="FFFFFF00"/>
    <pageSetUpPr fitToPage="1"/>
  </sheetPr>
  <dimension ref="A1:K350"/>
  <sheetViews>
    <sheetView showGridLines="0" topLeftCell="A42" zoomScale="24" zoomScaleNormal="24" zoomScaleSheetLayoutView="50" zoomScalePageLayoutView="10" workbookViewId="0">
      <selection activeCell="A66" sqref="A66:B66"/>
    </sheetView>
  </sheetViews>
  <sheetFormatPr defaultRowHeight="18.75" x14ac:dyDescent="0.3"/>
  <cols>
    <col min="1" max="1" width="92.5703125" style="34" customWidth="1"/>
    <col min="2" max="2" width="122" style="35" customWidth="1"/>
    <col min="3" max="3" width="37" style="35" customWidth="1"/>
    <col min="4" max="4" width="33.5703125" style="35" customWidth="1"/>
    <col min="5" max="5" width="39" style="34" bestFit="1" customWidth="1"/>
    <col min="6" max="6" width="9.140625" style="60"/>
    <col min="7" max="254" width="9.140625" style="34"/>
    <col min="255" max="255" width="101.28515625" style="34" customWidth="1"/>
    <col min="256" max="256" width="92.28515625" style="34" customWidth="1"/>
    <col min="257" max="257" width="27.85546875" style="34" customWidth="1"/>
    <col min="258" max="258" width="29.5703125" style="34" customWidth="1"/>
    <col min="259" max="259" width="27.28515625" style="34" customWidth="1"/>
    <col min="260" max="260" width="27.7109375" style="34" customWidth="1"/>
    <col min="261" max="261" width="46.140625" style="34" customWidth="1"/>
    <col min="262" max="510" width="9.140625" style="34"/>
    <col min="511" max="511" width="101.28515625" style="34" customWidth="1"/>
    <col min="512" max="512" width="92.28515625" style="34" customWidth="1"/>
    <col min="513" max="513" width="27.85546875" style="34" customWidth="1"/>
    <col min="514" max="514" width="29.5703125" style="34" customWidth="1"/>
    <col min="515" max="515" width="27.28515625" style="34" customWidth="1"/>
    <col min="516" max="516" width="27.7109375" style="34" customWidth="1"/>
    <col min="517" max="517" width="46.140625" style="34" customWidth="1"/>
    <col min="518" max="766" width="9.140625" style="34"/>
    <col min="767" max="767" width="101.28515625" style="34" customWidth="1"/>
    <col min="768" max="768" width="92.28515625" style="34" customWidth="1"/>
    <col min="769" max="769" width="27.85546875" style="34" customWidth="1"/>
    <col min="770" max="770" width="29.5703125" style="34" customWidth="1"/>
    <col min="771" max="771" width="27.28515625" style="34" customWidth="1"/>
    <col min="772" max="772" width="27.7109375" style="34" customWidth="1"/>
    <col min="773" max="773" width="46.140625" style="34" customWidth="1"/>
    <col min="774" max="1022" width="9.140625" style="34"/>
    <col min="1023" max="1023" width="101.28515625" style="34" customWidth="1"/>
    <col min="1024" max="1024" width="92.28515625" style="34" customWidth="1"/>
    <col min="1025" max="1025" width="27.85546875" style="34" customWidth="1"/>
    <col min="1026" max="1026" width="29.5703125" style="34" customWidth="1"/>
    <col min="1027" max="1027" width="27.28515625" style="34" customWidth="1"/>
    <col min="1028" max="1028" width="27.7109375" style="34" customWidth="1"/>
    <col min="1029" max="1029" width="46.140625" style="34" customWidth="1"/>
    <col min="1030" max="1278" width="9.140625" style="34"/>
    <col min="1279" max="1279" width="101.28515625" style="34" customWidth="1"/>
    <col min="1280" max="1280" width="92.28515625" style="34" customWidth="1"/>
    <col min="1281" max="1281" width="27.85546875" style="34" customWidth="1"/>
    <col min="1282" max="1282" width="29.5703125" style="34" customWidth="1"/>
    <col min="1283" max="1283" width="27.28515625" style="34" customWidth="1"/>
    <col min="1284" max="1284" width="27.7109375" style="34" customWidth="1"/>
    <col min="1285" max="1285" width="46.140625" style="34" customWidth="1"/>
    <col min="1286" max="1534" width="9.140625" style="34"/>
    <col min="1535" max="1535" width="101.28515625" style="34" customWidth="1"/>
    <col min="1536" max="1536" width="92.28515625" style="34" customWidth="1"/>
    <col min="1537" max="1537" width="27.85546875" style="34" customWidth="1"/>
    <col min="1538" max="1538" width="29.5703125" style="34" customWidth="1"/>
    <col min="1539" max="1539" width="27.28515625" style="34" customWidth="1"/>
    <col min="1540" max="1540" width="27.7109375" style="34" customWidth="1"/>
    <col min="1541" max="1541" width="46.140625" style="34" customWidth="1"/>
    <col min="1542" max="1790" width="9.140625" style="34"/>
    <col min="1791" max="1791" width="101.28515625" style="34" customWidth="1"/>
    <col min="1792" max="1792" width="92.28515625" style="34" customWidth="1"/>
    <col min="1793" max="1793" width="27.85546875" style="34" customWidth="1"/>
    <col min="1794" max="1794" width="29.5703125" style="34" customWidth="1"/>
    <col min="1795" max="1795" width="27.28515625" style="34" customWidth="1"/>
    <col min="1796" max="1796" width="27.7109375" style="34" customWidth="1"/>
    <col min="1797" max="1797" width="46.140625" style="34" customWidth="1"/>
    <col min="1798" max="2046" width="9.140625" style="34"/>
    <col min="2047" max="2047" width="101.28515625" style="34" customWidth="1"/>
    <col min="2048" max="2048" width="92.28515625" style="34" customWidth="1"/>
    <col min="2049" max="2049" width="27.85546875" style="34" customWidth="1"/>
    <col min="2050" max="2050" width="29.5703125" style="34" customWidth="1"/>
    <col min="2051" max="2051" width="27.28515625" style="34" customWidth="1"/>
    <col min="2052" max="2052" width="27.7109375" style="34" customWidth="1"/>
    <col min="2053" max="2053" width="46.140625" style="34" customWidth="1"/>
    <col min="2054" max="2302" width="9.140625" style="34"/>
    <col min="2303" max="2303" width="101.28515625" style="34" customWidth="1"/>
    <col min="2304" max="2304" width="92.28515625" style="34" customWidth="1"/>
    <col min="2305" max="2305" width="27.85546875" style="34" customWidth="1"/>
    <col min="2306" max="2306" width="29.5703125" style="34" customWidth="1"/>
    <col min="2307" max="2307" width="27.28515625" style="34" customWidth="1"/>
    <col min="2308" max="2308" width="27.7109375" style="34" customWidth="1"/>
    <col min="2309" max="2309" width="46.140625" style="34" customWidth="1"/>
    <col min="2310" max="2558" width="9.140625" style="34"/>
    <col min="2559" max="2559" width="101.28515625" style="34" customWidth="1"/>
    <col min="2560" max="2560" width="92.28515625" style="34" customWidth="1"/>
    <col min="2561" max="2561" width="27.85546875" style="34" customWidth="1"/>
    <col min="2562" max="2562" width="29.5703125" style="34" customWidth="1"/>
    <col min="2563" max="2563" width="27.28515625" style="34" customWidth="1"/>
    <col min="2564" max="2564" width="27.7109375" style="34" customWidth="1"/>
    <col min="2565" max="2565" width="46.140625" style="34" customWidth="1"/>
    <col min="2566" max="2814" width="9.140625" style="34"/>
    <col min="2815" max="2815" width="101.28515625" style="34" customWidth="1"/>
    <col min="2816" max="2816" width="92.28515625" style="34" customWidth="1"/>
    <col min="2817" max="2817" width="27.85546875" style="34" customWidth="1"/>
    <col min="2818" max="2818" width="29.5703125" style="34" customWidth="1"/>
    <col min="2819" max="2819" width="27.28515625" style="34" customWidth="1"/>
    <col min="2820" max="2820" width="27.7109375" style="34" customWidth="1"/>
    <col min="2821" max="2821" width="46.140625" style="34" customWidth="1"/>
    <col min="2822" max="3070" width="9.140625" style="34"/>
    <col min="3071" max="3071" width="101.28515625" style="34" customWidth="1"/>
    <col min="3072" max="3072" width="92.28515625" style="34" customWidth="1"/>
    <col min="3073" max="3073" width="27.85546875" style="34" customWidth="1"/>
    <col min="3074" max="3074" width="29.5703125" style="34" customWidth="1"/>
    <col min="3075" max="3075" width="27.28515625" style="34" customWidth="1"/>
    <col min="3076" max="3076" width="27.7109375" style="34" customWidth="1"/>
    <col min="3077" max="3077" width="46.140625" style="34" customWidth="1"/>
    <col min="3078" max="3326" width="9.140625" style="34"/>
    <col min="3327" max="3327" width="101.28515625" style="34" customWidth="1"/>
    <col min="3328" max="3328" width="92.28515625" style="34" customWidth="1"/>
    <col min="3329" max="3329" width="27.85546875" style="34" customWidth="1"/>
    <col min="3330" max="3330" width="29.5703125" style="34" customWidth="1"/>
    <col min="3331" max="3331" width="27.28515625" style="34" customWidth="1"/>
    <col min="3332" max="3332" width="27.7109375" style="34" customWidth="1"/>
    <col min="3333" max="3333" width="46.140625" style="34" customWidth="1"/>
    <col min="3334" max="3582" width="9.140625" style="34"/>
    <col min="3583" max="3583" width="101.28515625" style="34" customWidth="1"/>
    <col min="3584" max="3584" width="92.28515625" style="34" customWidth="1"/>
    <col min="3585" max="3585" width="27.85546875" style="34" customWidth="1"/>
    <col min="3586" max="3586" width="29.5703125" style="34" customWidth="1"/>
    <col min="3587" max="3587" width="27.28515625" style="34" customWidth="1"/>
    <col min="3588" max="3588" width="27.7109375" style="34" customWidth="1"/>
    <col min="3589" max="3589" width="46.140625" style="34" customWidth="1"/>
    <col min="3590" max="3838" width="9.140625" style="34"/>
    <col min="3839" max="3839" width="101.28515625" style="34" customWidth="1"/>
    <col min="3840" max="3840" width="92.28515625" style="34" customWidth="1"/>
    <col min="3841" max="3841" width="27.85546875" style="34" customWidth="1"/>
    <col min="3842" max="3842" width="29.5703125" style="34" customWidth="1"/>
    <col min="3843" max="3843" width="27.28515625" style="34" customWidth="1"/>
    <col min="3844" max="3844" width="27.7109375" style="34" customWidth="1"/>
    <col min="3845" max="3845" width="46.140625" style="34" customWidth="1"/>
    <col min="3846" max="4094" width="9.140625" style="34"/>
    <col min="4095" max="4095" width="101.28515625" style="34" customWidth="1"/>
    <col min="4096" max="4096" width="92.28515625" style="34" customWidth="1"/>
    <col min="4097" max="4097" width="27.85546875" style="34" customWidth="1"/>
    <col min="4098" max="4098" width="29.5703125" style="34" customWidth="1"/>
    <col min="4099" max="4099" width="27.28515625" style="34" customWidth="1"/>
    <col min="4100" max="4100" width="27.7109375" style="34" customWidth="1"/>
    <col min="4101" max="4101" width="46.140625" style="34" customWidth="1"/>
    <col min="4102" max="4350" width="9.140625" style="34"/>
    <col min="4351" max="4351" width="101.28515625" style="34" customWidth="1"/>
    <col min="4352" max="4352" width="92.28515625" style="34" customWidth="1"/>
    <col min="4353" max="4353" width="27.85546875" style="34" customWidth="1"/>
    <col min="4354" max="4354" width="29.5703125" style="34" customWidth="1"/>
    <col min="4355" max="4355" width="27.28515625" style="34" customWidth="1"/>
    <col min="4356" max="4356" width="27.7109375" style="34" customWidth="1"/>
    <col min="4357" max="4357" width="46.140625" style="34" customWidth="1"/>
    <col min="4358" max="4606" width="9.140625" style="34"/>
    <col min="4607" max="4607" width="101.28515625" style="34" customWidth="1"/>
    <col min="4608" max="4608" width="92.28515625" style="34" customWidth="1"/>
    <col min="4609" max="4609" width="27.85546875" style="34" customWidth="1"/>
    <col min="4610" max="4610" width="29.5703125" style="34" customWidth="1"/>
    <col min="4611" max="4611" width="27.28515625" style="34" customWidth="1"/>
    <col min="4612" max="4612" width="27.7109375" style="34" customWidth="1"/>
    <col min="4613" max="4613" width="46.140625" style="34" customWidth="1"/>
    <col min="4614" max="4862" width="9.140625" style="34"/>
    <col min="4863" max="4863" width="101.28515625" style="34" customWidth="1"/>
    <col min="4864" max="4864" width="92.28515625" style="34" customWidth="1"/>
    <col min="4865" max="4865" width="27.85546875" style="34" customWidth="1"/>
    <col min="4866" max="4866" width="29.5703125" style="34" customWidth="1"/>
    <col min="4867" max="4867" width="27.28515625" style="34" customWidth="1"/>
    <col min="4868" max="4868" width="27.7109375" style="34" customWidth="1"/>
    <col min="4869" max="4869" width="46.140625" style="34" customWidth="1"/>
    <col min="4870" max="5118" width="9.140625" style="34"/>
    <col min="5119" max="5119" width="101.28515625" style="34" customWidth="1"/>
    <col min="5120" max="5120" width="92.28515625" style="34" customWidth="1"/>
    <col min="5121" max="5121" width="27.85546875" style="34" customWidth="1"/>
    <col min="5122" max="5122" width="29.5703125" style="34" customWidth="1"/>
    <col min="5123" max="5123" width="27.28515625" style="34" customWidth="1"/>
    <col min="5124" max="5124" width="27.7109375" style="34" customWidth="1"/>
    <col min="5125" max="5125" width="46.140625" style="34" customWidth="1"/>
    <col min="5126" max="5374" width="9.140625" style="34"/>
    <col min="5375" max="5375" width="101.28515625" style="34" customWidth="1"/>
    <col min="5376" max="5376" width="92.28515625" style="34" customWidth="1"/>
    <col min="5377" max="5377" width="27.85546875" style="34" customWidth="1"/>
    <col min="5378" max="5378" width="29.5703125" style="34" customWidth="1"/>
    <col min="5379" max="5379" width="27.28515625" style="34" customWidth="1"/>
    <col min="5380" max="5380" width="27.7109375" style="34" customWidth="1"/>
    <col min="5381" max="5381" width="46.140625" style="34" customWidth="1"/>
    <col min="5382" max="5630" width="9.140625" style="34"/>
    <col min="5631" max="5631" width="101.28515625" style="34" customWidth="1"/>
    <col min="5632" max="5632" width="92.28515625" style="34" customWidth="1"/>
    <col min="5633" max="5633" width="27.85546875" style="34" customWidth="1"/>
    <col min="5634" max="5634" width="29.5703125" style="34" customWidth="1"/>
    <col min="5635" max="5635" width="27.28515625" style="34" customWidth="1"/>
    <col min="5636" max="5636" width="27.7109375" style="34" customWidth="1"/>
    <col min="5637" max="5637" width="46.140625" style="34" customWidth="1"/>
    <col min="5638" max="5886" width="9.140625" style="34"/>
    <col min="5887" max="5887" width="101.28515625" style="34" customWidth="1"/>
    <col min="5888" max="5888" width="92.28515625" style="34" customWidth="1"/>
    <col min="5889" max="5889" width="27.85546875" style="34" customWidth="1"/>
    <col min="5890" max="5890" width="29.5703125" style="34" customWidth="1"/>
    <col min="5891" max="5891" width="27.28515625" style="34" customWidth="1"/>
    <col min="5892" max="5892" width="27.7109375" style="34" customWidth="1"/>
    <col min="5893" max="5893" width="46.140625" style="34" customWidth="1"/>
    <col min="5894" max="6142" width="9.140625" style="34"/>
    <col min="6143" max="6143" width="101.28515625" style="34" customWidth="1"/>
    <col min="6144" max="6144" width="92.28515625" style="34" customWidth="1"/>
    <col min="6145" max="6145" width="27.85546875" style="34" customWidth="1"/>
    <col min="6146" max="6146" width="29.5703125" style="34" customWidth="1"/>
    <col min="6147" max="6147" width="27.28515625" style="34" customWidth="1"/>
    <col min="6148" max="6148" width="27.7109375" style="34" customWidth="1"/>
    <col min="6149" max="6149" width="46.140625" style="34" customWidth="1"/>
    <col min="6150" max="6398" width="9.140625" style="34"/>
    <col min="6399" max="6399" width="101.28515625" style="34" customWidth="1"/>
    <col min="6400" max="6400" width="92.28515625" style="34" customWidth="1"/>
    <col min="6401" max="6401" width="27.85546875" style="34" customWidth="1"/>
    <col min="6402" max="6402" width="29.5703125" style="34" customWidth="1"/>
    <col min="6403" max="6403" width="27.28515625" style="34" customWidth="1"/>
    <col min="6404" max="6404" width="27.7109375" style="34" customWidth="1"/>
    <col min="6405" max="6405" width="46.140625" style="34" customWidth="1"/>
    <col min="6406" max="6654" width="9.140625" style="34"/>
    <col min="6655" max="6655" width="101.28515625" style="34" customWidth="1"/>
    <col min="6656" max="6656" width="92.28515625" style="34" customWidth="1"/>
    <col min="6657" max="6657" width="27.85546875" style="34" customWidth="1"/>
    <col min="6658" max="6658" width="29.5703125" style="34" customWidth="1"/>
    <col min="6659" max="6659" width="27.28515625" style="34" customWidth="1"/>
    <col min="6660" max="6660" width="27.7109375" style="34" customWidth="1"/>
    <col min="6661" max="6661" width="46.140625" style="34" customWidth="1"/>
    <col min="6662" max="6910" width="9.140625" style="34"/>
    <col min="6911" max="6911" width="101.28515625" style="34" customWidth="1"/>
    <col min="6912" max="6912" width="92.28515625" style="34" customWidth="1"/>
    <col min="6913" max="6913" width="27.85546875" style="34" customWidth="1"/>
    <col min="6914" max="6914" width="29.5703125" style="34" customWidth="1"/>
    <col min="6915" max="6915" width="27.28515625" style="34" customWidth="1"/>
    <col min="6916" max="6916" width="27.7109375" style="34" customWidth="1"/>
    <col min="6917" max="6917" width="46.140625" style="34" customWidth="1"/>
    <col min="6918" max="7166" width="9.140625" style="34"/>
    <col min="7167" max="7167" width="101.28515625" style="34" customWidth="1"/>
    <col min="7168" max="7168" width="92.28515625" style="34" customWidth="1"/>
    <col min="7169" max="7169" width="27.85546875" style="34" customWidth="1"/>
    <col min="7170" max="7170" width="29.5703125" style="34" customWidth="1"/>
    <col min="7171" max="7171" width="27.28515625" style="34" customWidth="1"/>
    <col min="7172" max="7172" width="27.7109375" style="34" customWidth="1"/>
    <col min="7173" max="7173" width="46.140625" style="34" customWidth="1"/>
    <col min="7174" max="7422" width="9.140625" style="34"/>
    <col min="7423" max="7423" width="101.28515625" style="34" customWidth="1"/>
    <col min="7424" max="7424" width="92.28515625" style="34" customWidth="1"/>
    <col min="7425" max="7425" width="27.85546875" style="34" customWidth="1"/>
    <col min="7426" max="7426" width="29.5703125" style="34" customWidth="1"/>
    <col min="7427" max="7427" width="27.28515625" style="34" customWidth="1"/>
    <col min="7428" max="7428" width="27.7109375" style="34" customWidth="1"/>
    <col min="7429" max="7429" width="46.140625" style="34" customWidth="1"/>
    <col min="7430" max="7678" width="9.140625" style="34"/>
    <col min="7679" max="7679" width="101.28515625" style="34" customWidth="1"/>
    <col min="7680" max="7680" width="92.28515625" style="34" customWidth="1"/>
    <col min="7681" max="7681" width="27.85546875" style="34" customWidth="1"/>
    <col min="7682" max="7682" width="29.5703125" style="34" customWidth="1"/>
    <col min="7683" max="7683" width="27.28515625" style="34" customWidth="1"/>
    <col min="7684" max="7684" width="27.7109375" style="34" customWidth="1"/>
    <col min="7685" max="7685" width="46.140625" style="34" customWidth="1"/>
    <col min="7686" max="7934" width="9.140625" style="34"/>
    <col min="7935" max="7935" width="101.28515625" style="34" customWidth="1"/>
    <col min="7936" max="7936" width="92.28515625" style="34" customWidth="1"/>
    <col min="7937" max="7937" width="27.85546875" style="34" customWidth="1"/>
    <col min="7938" max="7938" width="29.5703125" style="34" customWidth="1"/>
    <col min="7939" max="7939" width="27.28515625" style="34" customWidth="1"/>
    <col min="7940" max="7940" width="27.7109375" style="34" customWidth="1"/>
    <col min="7941" max="7941" width="46.140625" style="34" customWidth="1"/>
    <col min="7942" max="8190" width="9.140625" style="34"/>
    <col min="8191" max="8191" width="101.28515625" style="34" customWidth="1"/>
    <col min="8192" max="8192" width="92.28515625" style="34" customWidth="1"/>
    <col min="8193" max="8193" width="27.85546875" style="34" customWidth="1"/>
    <col min="8194" max="8194" width="29.5703125" style="34" customWidth="1"/>
    <col min="8195" max="8195" width="27.28515625" style="34" customWidth="1"/>
    <col min="8196" max="8196" width="27.7109375" style="34" customWidth="1"/>
    <col min="8197" max="8197" width="46.140625" style="34" customWidth="1"/>
    <col min="8198" max="8446" width="9.140625" style="34"/>
    <col min="8447" max="8447" width="101.28515625" style="34" customWidth="1"/>
    <col min="8448" max="8448" width="92.28515625" style="34" customWidth="1"/>
    <col min="8449" max="8449" width="27.85546875" style="34" customWidth="1"/>
    <col min="8450" max="8450" width="29.5703125" style="34" customWidth="1"/>
    <col min="8451" max="8451" width="27.28515625" style="34" customWidth="1"/>
    <col min="8452" max="8452" width="27.7109375" style="34" customWidth="1"/>
    <col min="8453" max="8453" width="46.140625" style="34" customWidth="1"/>
    <col min="8454" max="8702" width="9.140625" style="34"/>
    <col min="8703" max="8703" width="101.28515625" style="34" customWidth="1"/>
    <col min="8704" max="8704" width="92.28515625" style="34" customWidth="1"/>
    <col min="8705" max="8705" width="27.85546875" style="34" customWidth="1"/>
    <col min="8706" max="8706" width="29.5703125" style="34" customWidth="1"/>
    <col min="8707" max="8707" width="27.28515625" style="34" customWidth="1"/>
    <col min="8708" max="8708" width="27.7109375" style="34" customWidth="1"/>
    <col min="8709" max="8709" width="46.140625" style="34" customWidth="1"/>
    <col min="8710" max="8958" width="9.140625" style="34"/>
    <col min="8959" max="8959" width="101.28515625" style="34" customWidth="1"/>
    <col min="8960" max="8960" width="92.28515625" style="34" customWidth="1"/>
    <col min="8961" max="8961" width="27.85546875" style="34" customWidth="1"/>
    <col min="8962" max="8962" width="29.5703125" style="34" customWidth="1"/>
    <col min="8963" max="8963" width="27.28515625" style="34" customWidth="1"/>
    <col min="8964" max="8964" width="27.7109375" style="34" customWidth="1"/>
    <col min="8965" max="8965" width="46.140625" style="34" customWidth="1"/>
    <col min="8966" max="9214" width="9.140625" style="34"/>
    <col min="9215" max="9215" width="101.28515625" style="34" customWidth="1"/>
    <col min="9216" max="9216" width="92.28515625" style="34" customWidth="1"/>
    <col min="9217" max="9217" width="27.85546875" style="34" customWidth="1"/>
    <col min="9218" max="9218" width="29.5703125" style="34" customWidth="1"/>
    <col min="9219" max="9219" width="27.28515625" style="34" customWidth="1"/>
    <col min="9220" max="9220" width="27.7109375" style="34" customWidth="1"/>
    <col min="9221" max="9221" width="46.140625" style="34" customWidth="1"/>
    <col min="9222" max="9470" width="9.140625" style="34"/>
    <col min="9471" max="9471" width="101.28515625" style="34" customWidth="1"/>
    <col min="9472" max="9472" width="92.28515625" style="34" customWidth="1"/>
    <col min="9473" max="9473" width="27.85546875" style="34" customWidth="1"/>
    <col min="9474" max="9474" width="29.5703125" style="34" customWidth="1"/>
    <col min="9475" max="9475" width="27.28515625" style="34" customWidth="1"/>
    <col min="9476" max="9476" width="27.7109375" style="34" customWidth="1"/>
    <col min="9477" max="9477" width="46.140625" style="34" customWidth="1"/>
    <col min="9478" max="9726" width="9.140625" style="34"/>
    <col min="9727" max="9727" width="101.28515625" style="34" customWidth="1"/>
    <col min="9728" max="9728" width="92.28515625" style="34" customWidth="1"/>
    <col min="9729" max="9729" width="27.85546875" style="34" customWidth="1"/>
    <col min="9730" max="9730" width="29.5703125" style="34" customWidth="1"/>
    <col min="9731" max="9731" width="27.28515625" style="34" customWidth="1"/>
    <col min="9732" max="9732" width="27.7109375" style="34" customWidth="1"/>
    <col min="9733" max="9733" width="46.140625" style="34" customWidth="1"/>
    <col min="9734" max="9982" width="9.140625" style="34"/>
    <col min="9983" max="9983" width="101.28515625" style="34" customWidth="1"/>
    <col min="9984" max="9984" width="92.28515625" style="34" customWidth="1"/>
    <col min="9985" max="9985" width="27.85546875" style="34" customWidth="1"/>
    <col min="9986" max="9986" width="29.5703125" style="34" customWidth="1"/>
    <col min="9987" max="9987" width="27.28515625" style="34" customWidth="1"/>
    <col min="9988" max="9988" width="27.7109375" style="34" customWidth="1"/>
    <col min="9989" max="9989" width="46.140625" style="34" customWidth="1"/>
    <col min="9990" max="10238" width="9.140625" style="34"/>
    <col min="10239" max="10239" width="101.28515625" style="34" customWidth="1"/>
    <col min="10240" max="10240" width="92.28515625" style="34" customWidth="1"/>
    <col min="10241" max="10241" width="27.85546875" style="34" customWidth="1"/>
    <col min="10242" max="10242" width="29.5703125" style="34" customWidth="1"/>
    <col min="10243" max="10243" width="27.28515625" style="34" customWidth="1"/>
    <col min="10244" max="10244" width="27.7109375" style="34" customWidth="1"/>
    <col min="10245" max="10245" width="46.140625" style="34" customWidth="1"/>
    <col min="10246" max="10494" width="9.140625" style="34"/>
    <col min="10495" max="10495" width="101.28515625" style="34" customWidth="1"/>
    <col min="10496" max="10496" width="92.28515625" style="34" customWidth="1"/>
    <col min="10497" max="10497" width="27.85546875" style="34" customWidth="1"/>
    <col min="10498" max="10498" width="29.5703125" style="34" customWidth="1"/>
    <col min="10499" max="10499" width="27.28515625" style="34" customWidth="1"/>
    <col min="10500" max="10500" width="27.7109375" style="34" customWidth="1"/>
    <col min="10501" max="10501" width="46.140625" style="34" customWidth="1"/>
    <col min="10502" max="10750" width="9.140625" style="34"/>
    <col min="10751" max="10751" width="101.28515625" style="34" customWidth="1"/>
    <col min="10752" max="10752" width="92.28515625" style="34" customWidth="1"/>
    <col min="10753" max="10753" width="27.85546875" style="34" customWidth="1"/>
    <col min="10754" max="10754" width="29.5703125" style="34" customWidth="1"/>
    <col min="10755" max="10755" width="27.28515625" style="34" customWidth="1"/>
    <col min="10756" max="10756" width="27.7109375" style="34" customWidth="1"/>
    <col min="10757" max="10757" width="46.140625" style="34" customWidth="1"/>
    <col min="10758" max="11006" width="9.140625" style="34"/>
    <col min="11007" max="11007" width="101.28515625" style="34" customWidth="1"/>
    <col min="11008" max="11008" width="92.28515625" style="34" customWidth="1"/>
    <col min="11009" max="11009" width="27.85546875" style="34" customWidth="1"/>
    <col min="11010" max="11010" width="29.5703125" style="34" customWidth="1"/>
    <col min="11011" max="11011" width="27.28515625" style="34" customWidth="1"/>
    <col min="11012" max="11012" width="27.7109375" style="34" customWidth="1"/>
    <col min="11013" max="11013" width="46.140625" style="34" customWidth="1"/>
    <col min="11014" max="11262" width="9.140625" style="34"/>
    <col min="11263" max="11263" width="101.28515625" style="34" customWidth="1"/>
    <col min="11264" max="11264" width="92.28515625" style="34" customWidth="1"/>
    <col min="11265" max="11265" width="27.85546875" style="34" customWidth="1"/>
    <col min="11266" max="11266" width="29.5703125" style="34" customWidth="1"/>
    <col min="11267" max="11267" width="27.28515625" style="34" customWidth="1"/>
    <col min="11268" max="11268" width="27.7109375" style="34" customWidth="1"/>
    <col min="11269" max="11269" width="46.140625" style="34" customWidth="1"/>
    <col min="11270" max="11518" width="9.140625" style="34"/>
    <col min="11519" max="11519" width="101.28515625" style="34" customWidth="1"/>
    <col min="11520" max="11520" width="92.28515625" style="34" customWidth="1"/>
    <col min="11521" max="11521" width="27.85546875" style="34" customWidth="1"/>
    <col min="11522" max="11522" width="29.5703125" style="34" customWidth="1"/>
    <col min="11523" max="11523" width="27.28515625" style="34" customWidth="1"/>
    <col min="11524" max="11524" width="27.7109375" style="34" customWidth="1"/>
    <col min="11525" max="11525" width="46.140625" style="34" customWidth="1"/>
    <col min="11526" max="11774" width="9.140625" style="34"/>
    <col min="11775" max="11775" width="101.28515625" style="34" customWidth="1"/>
    <col min="11776" max="11776" width="92.28515625" style="34" customWidth="1"/>
    <col min="11777" max="11777" width="27.85546875" style="34" customWidth="1"/>
    <col min="11778" max="11778" width="29.5703125" style="34" customWidth="1"/>
    <col min="11779" max="11779" width="27.28515625" style="34" customWidth="1"/>
    <col min="11780" max="11780" width="27.7109375" style="34" customWidth="1"/>
    <col min="11781" max="11781" width="46.140625" style="34" customWidth="1"/>
    <col min="11782" max="12030" width="9.140625" style="34"/>
    <col min="12031" max="12031" width="101.28515625" style="34" customWidth="1"/>
    <col min="12032" max="12032" width="92.28515625" style="34" customWidth="1"/>
    <col min="12033" max="12033" width="27.85546875" style="34" customWidth="1"/>
    <col min="12034" max="12034" width="29.5703125" style="34" customWidth="1"/>
    <col min="12035" max="12035" width="27.28515625" style="34" customWidth="1"/>
    <col min="12036" max="12036" width="27.7109375" style="34" customWidth="1"/>
    <col min="12037" max="12037" width="46.140625" style="34" customWidth="1"/>
    <col min="12038" max="12286" width="9.140625" style="34"/>
    <col min="12287" max="12287" width="101.28515625" style="34" customWidth="1"/>
    <col min="12288" max="12288" width="92.28515625" style="34" customWidth="1"/>
    <col min="12289" max="12289" width="27.85546875" style="34" customWidth="1"/>
    <col min="12290" max="12290" width="29.5703125" style="34" customWidth="1"/>
    <col min="12291" max="12291" width="27.28515625" style="34" customWidth="1"/>
    <col min="12292" max="12292" width="27.7109375" style="34" customWidth="1"/>
    <col min="12293" max="12293" width="46.140625" style="34" customWidth="1"/>
    <col min="12294" max="12542" width="9.140625" style="34"/>
    <col min="12543" max="12543" width="101.28515625" style="34" customWidth="1"/>
    <col min="12544" max="12544" width="92.28515625" style="34" customWidth="1"/>
    <col min="12545" max="12545" width="27.85546875" style="34" customWidth="1"/>
    <col min="12546" max="12546" width="29.5703125" style="34" customWidth="1"/>
    <col min="12547" max="12547" width="27.28515625" style="34" customWidth="1"/>
    <col min="12548" max="12548" width="27.7109375" style="34" customWidth="1"/>
    <col min="12549" max="12549" width="46.140625" style="34" customWidth="1"/>
    <col min="12550" max="12798" width="9.140625" style="34"/>
    <col min="12799" max="12799" width="101.28515625" style="34" customWidth="1"/>
    <col min="12800" max="12800" width="92.28515625" style="34" customWidth="1"/>
    <col min="12801" max="12801" width="27.85546875" style="34" customWidth="1"/>
    <col min="12802" max="12802" width="29.5703125" style="34" customWidth="1"/>
    <col min="12803" max="12803" width="27.28515625" style="34" customWidth="1"/>
    <col min="12804" max="12804" width="27.7109375" style="34" customWidth="1"/>
    <col min="12805" max="12805" width="46.140625" style="34" customWidth="1"/>
    <col min="12806" max="13054" width="9.140625" style="34"/>
    <col min="13055" max="13055" width="101.28515625" style="34" customWidth="1"/>
    <col min="13056" max="13056" width="92.28515625" style="34" customWidth="1"/>
    <col min="13057" max="13057" width="27.85546875" style="34" customWidth="1"/>
    <col min="13058" max="13058" width="29.5703125" style="34" customWidth="1"/>
    <col min="13059" max="13059" width="27.28515625" style="34" customWidth="1"/>
    <col min="13060" max="13060" width="27.7109375" style="34" customWidth="1"/>
    <col min="13061" max="13061" width="46.140625" style="34" customWidth="1"/>
    <col min="13062" max="13310" width="9.140625" style="34"/>
    <col min="13311" max="13311" width="101.28515625" style="34" customWidth="1"/>
    <col min="13312" max="13312" width="92.28515625" style="34" customWidth="1"/>
    <col min="13313" max="13313" width="27.85546875" style="34" customWidth="1"/>
    <col min="13314" max="13314" width="29.5703125" style="34" customWidth="1"/>
    <col min="13315" max="13315" width="27.28515625" style="34" customWidth="1"/>
    <col min="13316" max="13316" width="27.7109375" style="34" customWidth="1"/>
    <col min="13317" max="13317" width="46.140625" style="34" customWidth="1"/>
    <col min="13318" max="13566" width="9.140625" style="34"/>
    <col min="13567" max="13567" width="101.28515625" style="34" customWidth="1"/>
    <col min="13568" max="13568" width="92.28515625" style="34" customWidth="1"/>
    <col min="13569" max="13569" width="27.85546875" style="34" customWidth="1"/>
    <col min="13570" max="13570" width="29.5703125" style="34" customWidth="1"/>
    <col min="13571" max="13571" width="27.28515625" style="34" customWidth="1"/>
    <col min="13572" max="13572" width="27.7109375" style="34" customWidth="1"/>
    <col min="13573" max="13573" width="46.140625" style="34" customWidth="1"/>
    <col min="13574" max="13822" width="9.140625" style="34"/>
    <col min="13823" max="13823" width="101.28515625" style="34" customWidth="1"/>
    <col min="13824" max="13824" width="92.28515625" style="34" customWidth="1"/>
    <col min="13825" max="13825" width="27.85546875" style="34" customWidth="1"/>
    <col min="13826" max="13826" width="29.5703125" style="34" customWidth="1"/>
    <col min="13827" max="13827" width="27.28515625" style="34" customWidth="1"/>
    <col min="13828" max="13828" width="27.7109375" style="34" customWidth="1"/>
    <col min="13829" max="13829" width="46.140625" style="34" customWidth="1"/>
    <col min="13830" max="14078" width="9.140625" style="34"/>
    <col min="14079" max="14079" width="101.28515625" style="34" customWidth="1"/>
    <col min="14080" max="14080" width="92.28515625" style="34" customWidth="1"/>
    <col min="14081" max="14081" width="27.85546875" style="34" customWidth="1"/>
    <col min="14082" max="14082" width="29.5703125" style="34" customWidth="1"/>
    <col min="14083" max="14083" width="27.28515625" style="34" customWidth="1"/>
    <col min="14084" max="14084" width="27.7109375" style="34" customWidth="1"/>
    <col min="14085" max="14085" width="46.140625" style="34" customWidth="1"/>
    <col min="14086" max="14334" width="9.140625" style="34"/>
    <col min="14335" max="14335" width="101.28515625" style="34" customWidth="1"/>
    <col min="14336" max="14336" width="92.28515625" style="34" customWidth="1"/>
    <col min="14337" max="14337" width="27.85546875" style="34" customWidth="1"/>
    <col min="14338" max="14338" width="29.5703125" style="34" customWidth="1"/>
    <col min="14339" max="14339" width="27.28515625" style="34" customWidth="1"/>
    <col min="14340" max="14340" width="27.7109375" style="34" customWidth="1"/>
    <col min="14341" max="14341" width="46.140625" style="34" customWidth="1"/>
    <col min="14342" max="14590" width="9.140625" style="34"/>
    <col min="14591" max="14591" width="101.28515625" style="34" customWidth="1"/>
    <col min="14592" max="14592" width="92.28515625" style="34" customWidth="1"/>
    <col min="14593" max="14593" width="27.85546875" style="34" customWidth="1"/>
    <col min="14594" max="14594" width="29.5703125" style="34" customWidth="1"/>
    <col min="14595" max="14595" width="27.28515625" style="34" customWidth="1"/>
    <col min="14596" max="14596" width="27.7109375" style="34" customWidth="1"/>
    <col min="14597" max="14597" width="46.140625" style="34" customWidth="1"/>
    <col min="14598" max="14846" width="9.140625" style="34"/>
    <col min="14847" max="14847" width="101.28515625" style="34" customWidth="1"/>
    <col min="14848" max="14848" width="92.28515625" style="34" customWidth="1"/>
    <col min="14849" max="14849" width="27.85546875" style="34" customWidth="1"/>
    <col min="14850" max="14850" width="29.5703125" style="34" customWidth="1"/>
    <col min="14851" max="14851" width="27.28515625" style="34" customWidth="1"/>
    <col min="14852" max="14852" width="27.7109375" style="34" customWidth="1"/>
    <col min="14853" max="14853" width="46.140625" style="34" customWidth="1"/>
    <col min="14854" max="15102" width="9.140625" style="34"/>
    <col min="15103" max="15103" width="101.28515625" style="34" customWidth="1"/>
    <col min="15104" max="15104" width="92.28515625" style="34" customWidth="1"/>
    <col min="15105" max="15105" width="27.85546875" style="34" customWidth="1"/>
    <col min="15106" max="15106" width="29.5703125" style="34" customWidth="1"/>
    <col min="15107" max="15107" width="27.28515625" style="34" customWidth="1"/>
    <col min="15108" max="15108" width="27.7109375" style="34" customWidth="1"/>
    <col min="15109" max="15109" width="46.140625" style="34" customWidth="1"/>
    <col min="15110" max="15358" width="9.140625" style="34"/>
    <col min="15359" max="15359" width="101.28515625" style="34" customWidth="1"/>
    <col min="15360" max="15360" width="92.28515625" style="34" customWidth="1"/>
    <col min="15361" max="15361" width="27.85546875" style="34" customWidth="1"/>
    <col min="15362" max="15362" width="29.5703125" style="34" customWidth="1"/>
    <col min="15363" max="15363" width="27.28515625" style="34" customWidth="1"/>
    <col min="15364" max="15364" width="27.7109375" style="34" customWidth="1"/>
    <col min="15365" max="15365" width="46.140625" style="34" customWidth="1"/>
    <col min="15366" max="15614" width="9.140625" style="34"/>
    <col min="15615" max="15615" width="101.28515625" style="34" customWidth="1"/>
    <col min="15616" max="15616" width="92.28515625" style="34" customWidth="1"/>
    <col min="15617" max="15617" width="27.85546875" style="34" customWidth="1"/>
    <col min="15618" max="15618" width="29.5703125" style="34" customWidth="1"/>
    <col min="15619" max="15619" width="27.28515625" style="34" customWidth="1"/>
    <col min="15620" max="15620" width="27.7109375" style="34" customWidth="1"/>
    <col min="15621" max="15621" width="46.140625" style="34" customWidth="1"/>
    <col min="15622" max="15870" width="9.140625" style="34"/>
    <col min="15871" max="15871" width="101.28515625" style="34" customWidth="1"/>
    <col min="15872" max="15872" width="92.28515625" style="34" customWidth="1"/>
    <col min="15873" max="15873" width="27.85546875" style="34" customWidth="1"/>
    <col min="15874" max="15874" width="29.5703125" style="34" customWidth="1"/>
    <col min="15875" max="15875" width="27.28515625" style="34" customWidth="1"/>
    <col min="15876" max="15876" width="27.7109375" style="34" customWidth="1"/>
    <col min="15877" max="15877" width="46.140625" style="34" customWidth="1"/>
    <col min="15878" max="16126" width="9.140625" style="34"/>
    <col min="16127" max="16127" width="101.28515625" style="34" customWidth="1"/>
    <col min="16128" max="16128" width="92.28515625" style="34" customWidth="1"/>
    <col min="16129" max="16129" width="27.85546875" style="34" customWidth="1"/>
    <col min="16130" max="16130" width="29.5703125" style="34" customWidth="1"/>
    <col min="16131" max="16131" width="27.28515625" style="34" customWidth="1"/>
    <col min="16132" max="16132" width="27.7109375" style="34" customWidth="1"/>
    <col min="16133" max="16133" width="46.140625" style="34" customWidth="1"/>
    <col min="16134" max="16384" width="9.140625" style="34"/>
  </cols>
  <sheetData>
    <row r="1" spans="1:11" ht="177" customHeight="1" thickBot="1" x14ac:dyDescent="0.35">
      <c r="B1" s="61"/>
      <c r="C1" s="61"/>
      <c r="D1" s="61"/>
      <c r="E1" s="60"/>
    </row>
    <row r="2" spans="1:11" ht="69" customHeight="1" x14ac:dyDescent="0.3">
      <c r="A2" s="387" t="s">
        <v>163</v>
      </c>
      <c r="B2" s="388"/>
      <c r="C2" s="388"/>
      <c r="D2" s="388"/>
      <c r="E2" s="389"/>
    </row>
    <row r="3" spans="1:11" ht="61.5" customHeight="1" x14ac:dyDescent="0.3">
      <c r="A3" s="382" t="str">
        <f>'Matriz Objetivos x Projetos'!A7:W7</f>
        <v xml:space="preserve">CAU/UF:  </v>
      </c>
      <c r="B3" s="382"/>
      <c r="C3" s="382"/>
      <c r="D3" s="382"/>
      <c r="E3" s="382"/>
      <c r="F3" s="72"/>
      <c r="G3" s="72"/>
      <c r="H3" s="72"/>
      <c r="I3" s="72"/>
      <c r="J3" s="72"/>
      <c r="K3" s="72"/>
    </row>
    <row r="4" spans="1:11" ht="61.5" customHeight="1" x14ac:dyDescent="0.3">
      <c r="A4" s="382" t="s">
        <v>74</v>
      </c>
      <c r="B4" s="382"/>
      <c r="C4" s="382"/>
      <c r="D4" s="382"/>
      <c r="E4" s="382"/>
    </row>
    <row r="5" spans="1:11" s="60" customFormat="1" ht="61.5" customHeight="1" x14ac:dyDescent="0.3">
      <c r="A5" s="125"/>
      <c r="B5" s="126"/>
      <c r="C5" s="126"/>
      <c r="D5" s="126"/>
      <c r="E5" s="126"/>
    </row>
    <row r="6" spans="1:11" ht="61.5" customHeight="1" x14ac:dyDescent="0.3">
      <c r="A6" s="383" t="s">
        <v>124</v>
      </c>
      <c r="B6" s="383"/>
      <c r="C6" s="383"/>
      <c r="D6" s="383"/>
      <c r="E6" s="383"/>
    </row>
    <row r="7" spans="1:11" ht="61.5" customHeight="1" x14ac:dyDescent="0.4">
      <c r="A7" s="144"/>
      <c r="B7" s="145"/>
      <c r="C7" s="145"/>
      <c r="D7" s="145"/>
      <c r="E7" s="146"/>
    </row>
    <row r="8" spans="1:11" s="56" customFormat="1" ht="61.5" customHeight="1" x14ac:dyDescent="0.25">
      <c r="A8" s="147" t="s">
        <v>52</v>
      </c>
      <c r="B8" s="143" t="s">
        <v>121</v>
      </c>
      <c r="C8" s="143" t="s">
        <v>122</v>
      </c>
      <c r="D8" s="143" t="s">
        <v>194</v>
      </c>
      <c r="E8" s="143" t="s">
        <v>195</v>
      </c>
      <c r="F8" s="73"/>
    </row>
    <row r="9" spans="1:11" s="56" customFormat="1" ht="255.75" customHeight="1" x14ac:dyDescent="0.25">
      <c r="A9" s="159" t="s">
        <v>244</v>
      </c>
      <c r="B9" s="155"/>
      <c r="C9" s="155"/>
      <c r="D9" s="155"/>
      <c r="E9" s="122"/>
      <c r="F9" s="73"/>
    </row>
    <row r="10" spans="1:11" s="56" customFormat="1" ht="255.75" customHeight="1" x14ac:dyDescent="0.25">
      <c r="A10" s="221"/>
      <c r="B10" s="225"/>
      <c r="C10" s="223"/>
      <c r="D10" s="155"/>
      <c r="E10" s="122"/>
      <c r="F10" s="73"/>
    </row>
    <row r="11" spans="1:11" s="56" customFormat="1" ht="73.5" customHeight="1" x14ac:dyDescent="0.25">
      <c r="A11" s="384" t="s">
        <v>123</v>
      </c>
      <c r="B11" s="385"/>
      <c r="C11" s="385"/>
      <c r="D11" s="385"/>
      <c r="E11" s="386"/>
      <c r="F11" s="73"/>
    </row>
    <row r="12" spans="1:11" s="56" customFormat="1" ht="64.900000000000006" customHeight="1" x14ac:dyDescent="0.25">
      <c r="A12" s="147" t="s">
        <v>53</v>
      </c>
      <c r="B12" s="143" t="s">
        <v>121</v>
      </c>
      <c r="C12" s="143" t="s">
        <v>122</v>
      </c>
      <c r="D12" s="143" t="s">
        <v>194</v>
      </c>
      <c r="E12" s="143" t="s">
        <v>195</v>
      </c>
      <c r="F12" s="73"/>
    </row>
    <row r="13" spans="1:11" s="56" customFormat="1" ht="213" customHeight="1" x14ac:dyDescent="0.25">
      <c r="A13" s="159"/>
      <c r="B13" s="155"/>
      <c r="C13" s="155"/>
      <c r="D13" s="155"/>
      <c r="E13" s="224"/>
      <c r="F13" s="73"/>
    </row>
    <row r="14" spans="1:11" s="56" customFormat="1" ht="213" customHeight="1" x14ac:dyDescent="0.25">
      <c r="A14" s="221"/>
      <c r="B14" s="225"/>
      <c r="C14" s="223"/>
      <c r="D14" s="155"/>
      <c r="E14" s="224"/>
      <c r="F14" s="73"/>
    </row>
    <row r="15" spans="1:11" s="56" customFormat="1" ht="213" customHeight="1" x14ac:dyDescent="0.25">
      <c r="A15" s="221"/>
      <c r="B15" s="225"/>
      <c r="C15" s="223"/>
      <c r="D15" s="155"/>
      <c r="E15" s="224"/>
      <c r="F15" s="73"/>
    </row>
    <row r="16" spans="1:11" s="56" customFormat="1" ht="186.75" customHeight="1" x14ac:dyDescent="0.25">
      <c r="A16" s="159"/>
      <c r="B16" s="155"/>
      <c r="C16" s="155"/>
      <c r="D16" s="155"/>
      <c r="E16" s="224"/>
      <c r="F16" s="73"/>
    </row>
    <row r="17" spans="1:6" s="56" customFormat="1" ht="186.75" customHeight="1" x14ac:dyDescent="0.25">
      <c r="A17" s="221"/>
      <c r="B17" s="225"/>
      <c r="C17" s="223"/>
      <c r="D17" s="155"/>
      <c r="E17" s="224"/>
      <c r="F17" s="73"/>
    </row>
    <row r="18" spans="1:6" s="56" customFormat="1" ht="186.75" customHeight="1" x14ac:dyDescent="0.25">
      <c r="A18" s="221"/>
      <c r="B18" s="222"/>
      <c r="C18" s="223"/>
      <c r="D18" s="155"/>
      <c r="E18" s="224"/>
      <c r="F18" s="73"/>
    </row>
    <row r="19" spans="1:6" s="56" customFormat="1" ht="186.75" customHeight="1" x14ac:dyDescent="0.25">
      <c r="A19" s="221"/>
      <c r="B19" s="222"/>
      <c r="C19" s="223"/>
      <c r="D19" s="155"/>
      <c r="E19" s="224"/>
      <c r="F19" s="73"/>
    </row>
    <row r="20" spans="1:6" s="56" customFormat="1" ht="186.75" customHeight="1" thickBot="1" x14ac:dyDescent="0.3">
      <c r="A20" s="226"/>
      <c r="B20" s="227"/>
      <c r="C20" s="228"/>
      <c r="D20" s="155"/>
      <c r="E20" s="224"/>
      <c r="F20" s="73"/>
    </row>
    <row r="21" spans="1:6" s="56" customFormat="1" ht="89.25" customHeight="1" x14ac:dyDescent="0.25">
      <c r="A21" s="147" t="s">
        <v>54</v>
      </c>
      <c r="B21" s="143" t="s">
        <v>121</v>
      </c>
      <c r="C21" s="143" t="s">
        <v>122</v>
      </c>
      <c r="D21" s="143" t="s">
        <v>194</v>
      </c>
      <c r="E21" s="143" t="s">
        <v>195</v>
      </c>
      <c r="F21" s="73"/>
    </row>
    <row r="22" spans="1:6" s="56" customFormat="1" ht="222" customHeight="1" x14ac:dyDescent="0.25">
      <c r="A22" s="159"/>
      <c r="B22" s="155"/>
      <c r="C22" s="155"/>
      <c r="D22" s="155"/>
      <c r="E22" s="224"/>
      <c r="F22" s="73"/>
    </row>
    <row r="23" spans="1:6" s="56" customFormat="1" ht="246.75" customHeight="1" x14ac:dyDescent="0.25">
      <c r="A23" s="159"/>
      <c r="B23" s="155"/>
      <c r="C23" s="155"/>
      <c r="D23" s="155"/>
      <c r="E23" s="224"/>
      <c r="F23" s="73"/>
    </row>
    <row r="24" spans="1:6" s="56" customFormat="1" ht="98.25" customHeight="1" x14ac:dyDescent="0.25">
      <c r="A24" s="147" t="s">
        <v>55</v>
      </c>
      <c r="B24" s="143" t="s">
        <v>121</v>
      </c>
      <c r="C24" s="143" t="s">
        <v>122</v>
      </c>
      <c r="D24" s="143" t="s">
        <v>194</v>
      </c>
      <c r="E24" s="143" t="s">
        <v>195</v>
      </c>
      <c r="F24" s="73"/>
    </row>
    <row r="25" spans="1:6" s="56" customFormat="1" ht="211.5" customHeight="1" x14ac:dyDescent="0.25">
      <c r="A25" s="159"/>
      <c r="B25" s="155"/>
      <c r="C25" s="155"/>
      <c r="D25" s="155"/>
      <c r="E25" s="122"/>
      <c r="F25" s="73"/>
    </row>
    <row r="26" spans="1:6" s="56" customFormat="1" ht="224.25" customHeight="1" x14ac:dyDescent="0.25">
      <c r="A26" s="159"/>
      <c r="B26" s="155"/>
      <c r="C26" s="155"/>
      <c r="D26" s="155"/>
      <c r="E26" s="122"/>
      <c r="F26" s="73"/>
    </row>
    <row r="27" spans="1:6" s="56" customFormat="1" ht="221.25" customHeight="1" x14ac:dyDescent="0.25">
      <c r="A27" s="159"/>
      <c r="B27" s="155"/>
      <c r="C27" s="155"/>
      <c r="D27" s="155"/>
      <c r="E27" s="122"/>
      <c r="F27" s="73"/>
    </row>
    <row r="28" spans="1:6" s="56" customFormat="1" ht="72" hidden="1" customHeight="1" x14ac:dyDescent="0.25">
      <c r="A28" s="147" t="s">
        <v>56</v>
      </c>
      <c r="B28" s="143" t="s">
        <v>121</v>
      </c>
      <c r="C28" s="143" t="s">
        <v>122</v>
      </c>
      <c r="D28" s="143" t="s">
        <v>184</v>
      </c>
      <c r="E28" s="143" t="s">
        <v>184</v>
      </c>
      <c r="F28" s="73"/>
    </row>
    <row r="29" spans="1:6" s="56" customFormat="1" ht="174" hidden="1" customHeight="1" x14ac:dyDescent="0.25">
      <c r="A29" s="159" t="s">
        <v>57</v>
      </c>
      <c r="B29" s="149" t="s">
        <v>175</v>
      </c>
      <c r="C29" s="149" t="s">
        <v>176</v>
      </c>
      <c r="D29" s="149"/>
      <c r="E29" s="150"/>
      <c r="F29" s="73"/>
    </row>
    <row r="30" spans="1:6" s="56" customFormat="1" ht="217.5" hidden="1" customHeight="1" x14ac:dyDescent="0.25">
      <c r="A30" s="159" t="s">
        <v>58</v>
      </c>
      <c r="B30" s="149" t="s">
        <v>177</v>
      </c>
      <c r="C30" s="149" t="s">
        <v>176</v>
      </c>
      <c r="D30" s="149"/>
      <c r="E30" s="150"/>
      <c r="F30" s="73"/>
    </row>
    <row r="31" spans="1:6" s="56" customFormat="1" ht="77.25" customHeight="1" x14ac:dyDescent="0.25">
      <c r="A31" s="147" t="s">
        <v>59</v>
      </c>
      <c r="B31" s="143" t="s">
        <v>121</v>
      </c>
      <c r="C31" s="143" t="s">
        <v>122</v>
      </c>
      <c r="D31" s="143" t="s">
        <v>194</v>
      </c>
      <c r="E31" s="143" t="s">
        <v>195</v>
      </c>
      <c r="F31" s="73"/>
    </row>
    <row r="32" spans="1:6" s="56" customFormat="1" ht="342.75" customHeight="1" x14ac:dyDescent="0.25">
      <c r="A32" s="159"/>
      <c r="B32" s="155"/>
      <c r="C32" s="155"/>
      <c r="D32" s="155"/>
      <c r="E32" s="122"/>
      <c r="F32" s="73"/>
    </row>
    <row r="33" spans="1:6" s="56" customFormat="1" ht="166.5" customHeight="1" x14ac:dyDescent="0.25">
      <c r="A33" s="221"/>
      <c r="B33" s="229"/>
      <c r="C33" s="223"/>
      <c r="D33" s="155"/>
      <c r="E33" s="122"/>
      <c r="F33" s="73"/>
    </row>
    <row r="34" spans="1:6" s="56" customFormat="1" ht="226.5" customHeight="1" x14ac:dyDescent="0.25">
      <c r="A34" s="159"/>
      <c r="B34" s="155"/>
      <c r="C34" s="155"/>
      <c r="D34" s="155"/>
      <c r="E34" s="122"/>
      <c r="F34" s="73"/>
    </row>
    <row r="35" spans="1:6" s="56" customFormat="1" ht="63.6" customHeight="1" x14ac:dyDescent="0.25">
      <c r="A35" s="147" t="s">
        <v>60</v>
      </c>
      <c r="B35" s="143" t="s">
        <v>121</v>
      </c>
      <c r="C35" s="143" t="s">
        <v>122</v>
      </c>
      <c r="D35" s="143" t="s">
        <v>194</v>
      </c>
      <c r="E35" s="143" t="s">
        <v>195</v>
      </c>
      <c r="F35" s="73"/>
    </row>
    <row r="36" spans="1:6" s="56" customFormat="1" ht="254.25" customHeight="1" x14ac:dyDescent="0.25">
      <c r="A36" s="159"/>
      <c r="B36" s="155"/>
      <c r="C36" s="155"/>
      <c r="D36" s="155"/>
      <c r="E36" s="122"/>
      <c r="F36" s="73"/>
    </row>
    <row r="37" spans="1:6" s="56" customFormat="1" ht="254.25" customHeight="1" x14ac:dyDescent="0.25">
      <c r="A37" s="221"/>
      <c r="B37" s="225"/>
      <c r="C37" s="223"/>
      <c r="D37" s="155"/>
      <c r="E37" s="122"/>
      <c r="F37" s="73"/>
    </row>
    <row r="38" spans="1:6" s="56" customFormat="1" ht="27.75" x14ac:dyDescent="0.25">
      <c r="A38" s="159"/>
      <c r="B38" s="155"/>
      <c r="C38" s="155"/>
      <c r="D38" s="155"/>
      <c r="E38" s="122"/>
      <c r="F38" s="73"/>
    </row>
    <row r="39" spans="1:6" s="56" customFormat="1" ht="189" customHeight="1" x14ac:dyDescent="0.25">
      <c r="A39" s="221"/>
      <c r="B39" s="230"/>
      <c r="C39" s="223"/>
      <c r="D39" s="155"/>
      <c r="E39" s="122"/>
      <c r="F39" s="73"/>
    </row>
    <row r="40" spans="1:6" s="56" customFormat="1" ht="303" customHeight="1" x14ac:dyDescent="0.25">
      <c r="A40" s="159"/>
      <c r="B40" s="155"/>
      <c r="C40" s="155"/>
      <c r="D40" s="155"/>
      <c r="E40" s="122"/>
      <c r="F40" s="73"/>
    </row>
    <row r="41" spans="1:6" s="56" customFormat="1" ht="233.25" customHeight="1" x14ac:dyDescent="0.25">
      <c r="A41" s="159"/>
      <c r="B41" s="155"/>
      <c r="C41" s="155"/>
      <c r="D41" s="155"/>
      <c r="E41" s="122"/>
      <c r="F41" s="73"/>
    </row>
    <row r="42" spans="1:6" s="73" customFormat="1" ht="65.25" customHeight="1" x14ac:dyDescent="0.25">
      <c r="A42" s="147" t="s">
        <v>61</v>
      </c>
      <c r="B42" s="143" t="s">
        <v>121</v>
      </c>
      <c r="C42" s="143" t="s">
        <v>122</v>
      </c>
      <c r="D42" s="143" t="s">
        <v>194</v>
      </c>
      <c r="E42" s="143" t="s">
        <v>195</v>
      </c>
    </row>
    <row r="43" spans="1:6" s="56" customFormat="1" ht="193.5" customHeight="1" x14ac:dyDescent="0.25">
      <c r="A43" s="148"/>
      <c r="B43" s="149"/>
      <c r="C43" s="149"/>
      <c r="D43" s="149"/>
      <c r="E43" s="154"/>
      <c r="F43" s="73"/>
    </row>
    <row r="44" spans="1:6" s="56" customFormat="1" ht="240.75" customHeight="1" x14ac:dyDescent="0.25">
      <c r="A44" s="148"/>
      <c r="B44" s="149"/>
      <c r="C44" s="149"/>
      <c r="D44" s="149"/>
      <c r="E44" s="153"/>
      <c r="F44" s="73"/>
    </row>
    <row r="45" spans="1:6" s="56" customFormat="1" ht="267.75" customHeight="1" x14ac:dyDescent="0.25">
      <c r="A45" s="148"/>
      <c r="B45" s="149"/>
      <c r="C45" s="149"/>
      <c r="D45" s="149"/>
      <c r="E45" s="153"/>
      <c r="F45" s="73"/>
    </row>
    <row r="46" spans="1:6" s="56" customFormat="1" ht="64.150000000000006" customHeight="1" x14ac:dyDescent="0.25">
      <c r="A46" s="147" t="s">
        <v>62</v>
      </c>
      <c r="B46" s="143" t="s">
        <v>121</v>
      </c>
      <c r="C46" s="143" t="s">
        <v>122</v>
      </c>
      <c r="D46" s="143" t="s">
        <v>194</v>
      </c>
      <c r="E46" s="143" t="s">
        <v>195</v>
      </c>
      <c r="F46" s="73"/>
    </row>
    <row r="47" spans="1:6" s="56" customFormat="1" ht="261.75" customHeight="1" x14ac:dyDescent="0.25">
      <c r="A47" s="159"/>
      <c r="B47" s="155"/>
      <c r="C47" s="155"/>
      <c r="D47" s="155"/>
      <c r="E47" s="136"/>
      <c r="F47" s="73"/>
    </row>
    <row r="48" spans="1:6" s="56" customFormat="1" ht="261.75" customHeight="1" x14ac:dyDescent="0.25">
      <c r="A48" s="159"/>
      <c r="B48" s="155"/>
      <c r="C48" s="155"/>
      <c r="D48" s="155"/>
      <c r="E48" s="136"/>
      <c r="F48" s="73"/>
    </row>
    <row r="49" spans="1:6" s="56" customFormat="1" ht="56.45" customHeight="1" x14ac:dyDescent="0.25">
      <c r="A49" s="147" t="s">
        <v>63</v>
      </c>
      <c r="B49" s="143" t="s">
        <v>121</v>
      </c>
      <c r="C49" s="143" t="s">
        <v>122</v>
      </c>
      <c r="D49" s="143" t="s">
        <v>194</v>
      </c>
      <c r="E49" s="143" t="s">
        <v>195</v>
      </c>
      <c r="F49" s="73"/>
    </row>
    <row r="50" spans="1:6" s="56" customFormat="1" ht="197.25" customHeight="1" x14ac:dyDescent="0.25">
      <c r="A50" s="159"/>
      <c r="B50" s="155"/>
      <c r="C50" s="155"/>
      <c r="D50" s="155"/>
      <c r="E50" s="136"/>
      <c r="F50" s="73"/>
    </row>
    <row r="51" spans="1:6" s="56" customFormat="1" ht="197.25" customHeight="1" x14ac:dyDescent="0.25">
      <c r="A51" s="159"/>
      <c r="B51" s="155"/>
      <c r="C51" s="155"/>
      <c r="D51" s="155"/>
      <c r="E51" s="122"/>
      <c r="F51" s="73"/>
    </row>
    <row r="52" spans="1:6" s="56" customFormat="1" ht="61.15" customHeight="1" x14ac:dyDescent="0.25">
      <c r="A52" s="147" t="s">
        <v>64</v>
      </c>
      <c r="B52" s="143" t="s">
        <v>121</v>
      </c>
      <c r="C52" s="143" t="s">
        <v>122</v>
      </c>
      <c r="D52" s="143" t="s">
        <v>194</v>
      </c>
      <c r="E52" s="143" t="s">
        <v>195</v>
      </c>
      <c r="F52" s="73"/>
    </row>
    <row r="53" spans="1:6" s="56" customFormat="1" ht="220.5" customHeight="1" x14ac:dyDescent="0.25">
      <c r="A53" s="159"/>
      <c r="B53" s="155"/>
      <c r="C53" s="155"/>
      <c r="D53" s="155"/>
      <c r="E53" s="136"/>
      <c r="F53" s="73"/>
    </row>
    <row r="54" spans="1:6" s="56" customFormat="1" ht="220.5" customHeight="1" x14ac:dyDescent="0.25">
      <c r="A54" s="159"/>
      <c r="B54" s="155"/>
      <c r="C54" s="155"/>
      <c r="D54" s="155"/>
      <c r="E54" s="224"/>
      <c r="F54" s="73"/>
    </row>
    <row r="55" spans="1:6" s="56" customFormat="1" ht="220.5" customHeight="1" x14ac:dyDescent="0.25">
      <c r="A55" s="159"/>
      <c r="B55" s="155"/>
      <c r="C55" s="155"/>
      <c r="D55" s="155"/>
      <c r="E55" s="231"/>
      <c r="F55" s="73"/>
    </row>
    <row r="56" spans="1:6" s="56" customFormat="1" ht="220.5" customHeight="1" x14ac:dyDescent="0.25">
      <c r="A56" s="159"/>
      <c r="B56" s="155"/>
      <c r="C56" s="155"/>
      <c r="D56" s="155"/>
      <c r="E56" s="224"/>
      <c r="F56" s="73"/>
    </row>
    <row r="57" spans="1:6" s="56" customFormat="1" ht="220.5" customHeight="1" x14ac:dyDescent="0.25">
      <c r="A57" s="159"/>
      <c r="B57" s="155"/>
      <c r="C57" s="155"/>
      <c r="D57" s="155"/>
      <c r="E57" s="224"/>
      <c r="F57" s="73"/>
    </row>
    <row r="58" spans="1:6" s="56" customFormat="1" ht="58.9" customHeight="1" x14ac:dyDescent="0.25">
      <c r="A58" s="147" t="s">
        <v>65</v>
      </c>
      <c r="B58" s="143" t="s">
        <v>121</v>
      </c>
      <c r="C58" s="143" t="s">
        <v>122</v>
      </c>
      <c r="D58" s="143" t="s">
        <v>194</v>
      </c>
      <c r="E58" s="143" t="s">
        <v>195</v>
      </c>
      <c r="F58" s="73"/>
    </row>
    <row r="59" spans="1:6" s="56" customFormat="1" ht="273" customHeight="1" x14ac:dyDescent="0.25">
      <c r="A59" s="148"/>
      <c r="B59" s="152"/>
      <c r="C59" s="152"/>
      <c r="D59" s="152"/>
      <c r="E59" s="150"/>
      <c r="F59" s="73"/>
    </row>
    <row r="60" spans="1:6" s="56" customFormat="1" ht="60" customHeight="1" x14ac:dyDescent="0.25">
      <c r="A60" s="147" t="s">
        <v>66</v>
      </c>
      <c r="B60" s="143" t="s">
        <v>121</v>
      </c>
      <c r="C60" s="143" t="s">
        <v>122</v>
      </c>
      <c r="D60" s="143" t="s">
        <v>194</v>
      </c>
      <c r="E60" s="143" t="s">
        <v>195</v>
      </c>
      <c r="F60" s="73"/>
    </row>
    <row r="61" spans="1:6" s="56" customFormat="1" ht="264" customHeight="1" x14ac:dyDescent="0.25">
      <c r="A61" s="151"/>
      <c r="B61" s="152"/>
      <c r="C61" s="152"/>
      <c r="D61" s="152"/>
      <c r="E61" s="154"/>
      <c r="F61" s="73"/>
    </row>
    <row r="62" spans="1:6" s="56" customFormat="1" ht="264" customHeight="1" x14ac:dyDescent="0.25">
      <c r="A62" s="151"/>
      <c r="B62" s="152"/>
      <c r="C62" s="152"/>
      <c r="D62" s="152"/>
      <c r="E62" s="154"/>
      <c r="F62" s="73"/>
    </row>
    <row r="63" spans="1:6" s="56" customFormat="1" ht="264" customHeight="1" x14ac:dyDescent="0.25">
      <c r="A63" s="151"/>
      <c r="B63" s="152"/>
      <c r="C63" s="152"/>
      <c r="D63" s="152"/>
      <c r="E63" s="154"/>
      <c r="F63" s="73"/>
    </row>
    <row r="64" spans="1:6" s="56" customFormat="1" ht="76.5" customHeight="1" x14ac:dyDescent="0.25">
      <c r="A64" s="147" t="s">
        <v>67</v>
      </c>
      <c r="B64" s="143" t="s">
        <v>121</v>
      </c>
      <c r="C64" s="143" t="s">
        <v>122</v>
      </c>
      <c r="D64" s="143" t="s">
        <v>194</v>
      </c>
      <c r="E64" s="143" t="s">
        <v>195</v>
      </c>
      <c r="F64" s="73"/>
    </row>
    <row r="65" spans="1:6" s="56" customFormat="1" ht="270" customHeight="1" x14ac:dyDescent="0.25">
      <c r="A65" s="148"/>
      <c r="B65" s="152"/>
      <c r="C65" s="152"/>
      <c r="D65" s="152"/>
      <c r="E65" s="150"/>
      <c r="F65" s="73"/>
    </row>
    <row r="66" spans="1:6" s="56" customFormat="1" ht="127.5" customHeight="1" x14ac:dyDescent="0.25">
      <c r="A66" s="147" t="s">
        <v>68</v>
      </c>
      <c r="B66" s="143" t="s">
        <v>121</v>
      </c>
      <c r="C66" s="143" t="s">
        <v>122</v>
      </c>
      <c r="D66" s="143" t="s">
        <v>194</v>
      </c>
      <c r="E66" s="143" t="s">
        <v>195</v>
      </c>
      <c r="F66" s="73"/>
    </row>
    <row r="67" spans="1:6" s="56" customFormat="1" ht="264.75" customHeight="1" x14ac:dyDescent="0.25">
      <c r="A67" s="148"/>
      <c r="B67" s="152"/>
      <c r="C67" s="152"/>
      <c r="D67" s="152"/>
      <c r="E67" s="150"/>
      <c r="F67" s="73"/>
    </row>
    <row r="68" spans="1:6" s="56" customFormat="1" ht="271.5" customHeight="1" x14ac:dyDescent="0.25">
      <c r="A68" s="148"/>
      <c r="B68" s="152"/>
      <c r="C68" s="152"/>
      <c r="D68" s="152"/>
      <c r="E68" s="150"/>
      <c r="F68" s="73"/>
    </row>
    <row r="69" spans="1:6" s="57" customFormat="1" ht="30.75" customHeight="1" x14ac:dyDescent="0.4">
      <c r="A69" s="156"/>
      <c r="B69" s="157"/>
      <c r="C69" s="157"/>
      <c r="D69" s="157"/>
      <c r="E69" s="158"/>
      <c r="F69" s="60"/>
    </row>
    <row r="70" spans="1:6" ht="12" customHeight="1" x14ac:dyDescent="0.3">
      <c r="A70" s="58"/>
      <c r="B70" s="59"/>
      <c r="C70" s="59"/>
      <c r="D70" s="59"/>
      <c r="E70" s="58"/>
    </row>
    <row r="85" spans="2:6" x14ac:dyDescent="0.3">
      <c r="B85" s="34"/>
      <c r="C85" s="34"/>
      <c r="D85" s="34"/>
      <c r="F85" s="34"/>
    </row>
    <row r="86" spans="2:6" x14ac:dyDescent="0.3">
      <c r="B86" s="34"/>
      <c r="C86" s="34"/>
      <c r="D86" s="34"/>
      <c r="F86" s="34"/>
    </row>
    <row r="87" spans="2:6" x14ac:dyDescent="0.3">
      <c r="B87" s="34"/>
      <c r="C87" s="34"/>
      <c r="D87" s="34"/>
      <c r="F87" s="34"/>
    </row>
    <row r="88" spans="2:6" x14ac:dyDescent="0.3">
      <c r="B88" s="34"/>
      <c r="C88" s="34"/>
      <c r="D88" s="34"/>
      <c r="F88" s="34"/>
    </row>
    <row r="89" spans="2:6" x14ac:dyDescent="0.3">
      <c r="B89" s="34"/>
      <c r="C89" s="34"/>
      <c r="D89" s="34"/>
      <c r="F89" s="34"/>
    </row>
    <row r="90" spans="2:6" x14ac:dyDescent="0.3">
      <c r="B90" s="34"/>
      <c r="C90" s="34"/>
      <c r="D90" s="34"/>
      <c r="F90" s="34"/>
    </row>
    <row r="91" spans="2:6" x14ac:dyDescent="0.3">
      <c r="B91" s="34"/>
      <c r="C91" s="34"/>
      <c r="D91" s="34"/>
      <c r="F91" s="34"/>
    </row>
    <row r="92" spans="2:6" x14ac:dyDescent="0.3">
      <c r="B92" s="34"/>
      <c r="C92" s="34"/>
      <c r="D92" s="34"/>
      <c r="F92" s="34"/>
    </row>
    <row r="93" spans="2:6" x14ac:dyDescent="0.3">
      <c r="B93" s="34"/>
      <c r="C93" s="34"/>
      <c r="D93" s="34"/>
      <c r="F93" s="34"/>
    </row>
    <row r="94" spans="2:6" x14ac:dyDescent="0.3">
      <c r="B94" s="34"/>
      <c r="C94" s="34"/>
      <c r="D94" s="34"/>
      <c r="F94" s="34"/>
    </row>
    <row r="95" spans="2:6" x14ac:dyDescent="0.3">
      <c r="B95" s="34"/>
      <c r="C95" s="34"/>
      <c r="D95" s="34"/>
      <c r="F95" s="34"/>
    </row>
    <row r="96" spans="2:6" x14ac:dyDescent="0.3">
      <c r="B96" s="34"/>
      <c r="C96" s="34"/>
      <c r="D96" s="34"/>
      <c r="F96" s="34"/>
    </row>
    <row r="97" spans="2:6" x14ac:dyDescent="0.3">
      <c r="B97" s="34"/>
      <c r="C97" s="34"/>
      <c r="D97" s="34"/>
      <c r="F97" s="34"/>
    </row>
    <row r="98" spans="2:6" x14ac:dyDescent="0.3">
      <c r="B98" s="34"/>
      <c r="C98" s="34"/>
      <c r="D98" s="34"/>
      <c r="F98" s="34"/>
    </row>
    <row r="99" spans="2:6" x14ac:dyDescent="0.3">
      <c r="B99" s="34"/>
      <c r="C99" s="34"/>
      <c r="D99" s="34"/>
      <c r="F99" s="34"/>
    </row>
    <row r="100" spans="2:6" x14ac:dyDescent="0.3">
      <c r="B100" s="34"/>
      <c r="C100" s="34"/>
      <c r="D100" s="34"/>
      <c r="F100" s="34"/>
    </row>
    <row r="101" spans="2:6" x14ac:dyDescent="0.3">
      <c r="B101" s="34"/>
      <c r="C101" s="34"/>
      <c r="D101" s="34"/>
      <c r="F101" s="34"/>
    </row>
    <row r="102" spans="2:6" x14ac:dyDescent="0.3">
      <c r="B102" s="34"/>
      <c r="C102" s="34"/>
      <c r="D102" s="34"/>
      <c r="F102" s="34"/>
    </row>
    <row r="103" spans="2:6" x14ac:dyDescent="0.3">
      <c r="B103" s="34"/>
      <c r="C103" s="34"/>
      <c r="D103" s="34"/>
      <c r="F103" s="34"/>
    </row>
    <row r="104" spans="2:6" x14ac:dyDescent="0.3">
      <c r="B104" s="34"/>
      <c r="C104" s="34"/>
      <c r="D104" s="34"/>
      <c r="F104" s="34"/>
    </row>
    <row r="105" spans="2:6" x14ac:dyDescent="0.3">
      <c r="B105" s="34"/>
      <c r="C105" s="34"/>
      <c r="D105" s="34"/>
      <c r="F105" s="34"/>
    </row>
    <row r="106" spans="2:6" x14ac:dyDescent="0.3">
      <c r="B106" s="34"/>
      <c r="C106" s="34"/>
      <c r="D106" s="34"/>
      <c r="F106" s="34"/>
    </row>
    <row r="107" spans="2:6" x14ac:dyDescent="0.3">
      <c r="B107" s="34"/>
      <c r="C107" s="34"/>
      <c r="D107" s="34"/>
      <c r="F107" s="34"/>
    </row>
    <row r="108" spans="2:6" x14ac:dyDescent="0.3">
      <c r="B108" s="34"/>
      <c r="C108" s="34"/>
      <c r="D108" s="34"/>
      <c r="F108" s="34"/>
    </row>
    <row r="109" spans="2:6" x14ac:dyDescent="0.3">
      <c r="B109" s="34"/>
      <c r="C109" s="34"/>
      <c r="D109" s="34"/>
      <c r="F109" s="34"/>
    </row>
    <row r="110" spans="2:6" x14ac:dyDescent="0.3">
      <c r="B110" s="34"/>
      <c r="C110" s="34"/>
      <c r="D110" s="34"/>
      <c r="F110" s="34"/>
    </row>
    <row r="111" spans="2:6" x14ac:dyDescent="0.3">
      <c r="B111" s="34"/>
      <c r="C111" s="34"/>
      <c r="D111" s="34"/>
      <c r="F111" s="34"/>
    </row>
    <row r="112" spans="2:6" x14ac:dyDescent="0.3">
      <c r="B112" s="34"/>
      <c r="C112" s="34"/>
      <c r="D112" s="34"/>
      <c r="F112" s="34"/>
    </row>
    <row r="113" spans="2:6" x14ac:dyDescent="0.3">
      <c r="B113" s="34"/>
      <c r="C113" s="34"/>
      <c r="D113" s="34"/>
      <c r="F113" s="34"/>
    </row>
    <row r="114" spans="2:6" x14ac:dyDescent="0.3">
      <c r="B114" s="34"/>
      <c r="C114" s="34"/>
      <c r="D114" s="34"/>
      <c r="F114" s="34"/>
    </row>
    <row r="115" spans="2:6" x14ac:dyDescent="0.3">
      <c r="B115" s="34"/>
      <c r="C115" s="34"/>
      <c r="D115" s="34"/>
      <c r="F115" s="34"/>
    </row>
    <row r="116" spans="2:6" x14ac:dyDescent="0.3">
      <c r="B116" s="34"/>
      <c r="C116" s="34"/>
      <c r="D116" s="34"/>
      <c r="F116" s="34"/>
    </row>
    <row r="117" spans="2:6" x14ac:dyDescent="0.3">
      <c r="B117" s="34"/>
      <c r="C117" s="34"/>
      <c r="D117" s="34"/>
      <c r="F117" s="34"/>
    </row>
    <row r="118" spans="2:6" x14ac:dyDescent="0.3">
      <c r="B118" s="34"/>
      <c r="C118" s="34"/>
      <c r="D118" s="34"/>
      <c r="F118" s="34"/>
    </row>
    <row r="119" spans="2:6" x14ac:dyDescent="0.3">
      <c r="B119" s="34"/>
      <c r="C119" s="34"/>
      <c r="D119" s="34"/>
      <c r="F119" s="34"/>
    </row>
    <row r="120" spans="2:6" x14ac:dyDescent="0.3">
      <c r="B120" s="34"/>
      <c r="C120" s="34"/>
      <c r="D120" s="34"/>
      <c r="F120" s="34"/>
    </row>
    <row r="121" spans="2:6" x14ac:dyDescent="0.3">
      <c r="B121" s="34"/>
      <c r="C121" s="34"/>
      <c r="D121" s="34"/>
      <c r="F121" s="34"/>
    </row>
    <row r="122" spans="2:6" x14ac:dyDescent="0.3">
      <c r="B122" s="34"/>
      <c r="C122" s="34"/>
      <c r="D122" s="34"/>
      <c r="F122" s="34"/>
    </row>
    <row r="123" spans="2:6" x14ac:dyDescent="0.3">
      <c r="B123" s="34"/>
      <c r="C123" s="34"/>
      <c r="D123" s="34"/>
      <c r="F123" s="34"/>
    </row>
    <row r="124" spans="2:6" x14ac:dyDescent="0.3">
      <c r="B124" s="34"/>
      <c r="C124" s="34"/>
      <c r="D124" s="34"/>
      <c r="F124" s="34"/>
    </row>
    <row r="125" spans="2:6" x14ac:dyDescent="0.3">
      <c r="B125" s="34"/>
      <c r="C125" s="34"/>
      <c r="D125" s="34"/>
      <c r="F125" s="34"/>
    </row>
    <row r="126" spans="2:6" x14ac:dyDescent="0.3">
      <c r="B126" s="34"/>
      <c r="C126" s="34"/>
      <c r="D126" s="34"/>
      <c r="F126" s="34"/>
    </row>
    <row r="127" spans="2:6" x14ac:dyDescent="0.3">
      <c r="B127" s="34"/>
      <c r="C127" s="34"/>
      <c r="D127" s="34"/>
      <c r="F127" s="34"/>
    </row>
    <row r="128" spans="2:6" x14ac:dyDescent="0.3">
      <c r="B128" s="34"/>
      <c r="C128" s="34"/>
      <c r="D128" s="34"/>
      <c r="F128" s="34"/>
    </row>
    <row r="129" spans="2:6" x14ac:dyDescent="0.3">
      <c r="B129" s="34"/>
      <c r="C129" s="34"/>
      <c r="D129" s="34"/>
      <c r="F129" s="34"/>
    </row>
    <row r="130" spans="2:6" x14ac:dyDescent="0.3">
      <c r="B130" s="34"/>
      <c r="C130" s="34"/>
      <c r="D130" s="34"/>
      <c r="F130" s="34"/>
    </row>
    <row r="131" spans="2:6" x14ac:dyDescent="0.3">
      <c r="B131" s="34"/>
      <c r="C131" s="34"/>
      <c r="D131" s="34"/>
      <c r="F131" s="34"/>
    </row>
    <row r="132" spans="2:6" x14ac:dyDescent="0.3">
      <c r="B132" s="34"/>
      <c r="C132" s="34"/>
      <c r="D132" s="34"/>
      <c r="F132" s="34"/>
    </row>
    <row r="133" spans="2:6" x14ac:dyDescent="0.3">
      <c r="B133" s="34"/>
      <c r="C133" s="34"/>
      <c r="D133" s="34"/>
      <c r="F133" s="34"/>
    </row>
    <row r="134" spans="2:6" x14ac:dyDescent="0.3">
      <c r="B134" s="34"/>
      <c r="C134" s="34"/>
      <c r="D134" s="34"/>
      <c r="F134" s="34"/>
    </row>
    <row r="135" spans="2:6" x14ac:dyDescent="0.3">
      <c r="B135" s="34"/>
      <c r="C135" s="34"/>
      <c r="D135" s="34"/>
      <c r="F135" s="34"/>
    </row>
    <row r="136" spans="2:6" x14ac:dyDescent="0.3">
      <c r="B136" s="34"/>
      <c r="C136" s="34"/>
      <c r="D136" s="34"/>
      <c r="F136" s="34"/>
    </row>
    <row r="137" spans="2:6" x14ac:dyDescent="0.3">
      <c r="B137" s="34"/>
      <c r="C137" s="34"/>
      <c r="D137" s="34"/>
      <c r="F137" s="34"/>
    </row>
    <row r="138" spans="2:6" x14ac:dyDescent="0.3">
      <c r="B138" s="34"/>
      <c r="C138" s="34"/>
      <c r="D138" s="34"/>
      <c r="F138" s="34"/>
    </row>
    <row r="139" spans="2:6" x14ac:dyDescent="0.3">
      <c r="B139" s="34"/>
      <c r="C139" s="34"/>
      <c r="D139" s="34"/>
      <c r="F139" s="34"/>
    </row>
    <row r="140" spans="2:6" x14ac:dyDescent="0.3">
      <c r="B140" s="34"/>
      <c r="C140" s="34"/>
      <c r="D140" s="34"/>
      <c r="F140" s="34"/>
    </row>
    <row r="141" spans="2:6" x14ac:dyDescent="0.3">
      <c r="B141" s="34"/>
      <c r="C141" s="34"/>
      <c r="D141" s="34"/>
      <c r="F141" s="34"/>
    </row>
    <row r="142" spans="2:6" x14ac:dyDescent="0.3">
      <c r="B142" s="34"/>
      <c r="C142" s="34"/>
      <c r="D142" s="34"/>
      <c r="F142" s="34"/>
    </row>
    <row r="143" spans="2:6" x14ac:dyDescent="0.3">
      <c r="B143" s="34"/>
      <c r="C143" s="34"/>
      <c r="D143" s="34"/>
      <c r="F143" s="34"/>
    </row>
    <row r="144" spans="2:6" x14ac:dyDescent="0.3">
      <c r="B144" s="34"/>
      <c r="C144" s="34"/>
      <c r="D144" s="34"/>
      <c r="F144" s="34"/>
    </row>
    <row r="145" spans="2:6" x14ac:dyDescent="0.3">
      <c r="B145" s="34"/>
      <c r="C145" s="34"/>
      <c r="D145" s="34"/>
      <c r="F145" s="34"/>
    </row>
    <row r="146" spans="2:6" x14ac:dyDescent="0.3">
      <c r="B146" s="34"/>
      <c r="C146" s="34"/>
      <c r="D146" s="34"/>
      <c r="F146" s="34"/>
    </row>
    <row r="147" spans="2:6" x14ac:dyDescent="0.3">
      <c r="B147" s="34"/>
      <c r="C147" s="34"/>
      <c r="D147" s="34"/>
      <c r="F147" s="34"/>
    </row>
    <row r="148" spans="2:6" x14ac:dyDescent="0.3">
      <c r="B148" s="34"/>
      <c r="C148" s="34"/>
      <c r="D148" s="34"/>
      <c r="F148" s="34"/>
    </row>
    <row r="149" spans="2:6" x14ac:dyDescent="0.3">
      <c r="B149" s="34"/>
      <c r="C149" s="34"/>
      <c r="D149" s="34"/>
      <c r="F149" s="34"/>
    </row>
    <row r="150" spans="2:6" x14ac:dyDescent="0.3">
      <c r="B150" s="34"/>
      <c r="C150" s="34"/>
      <c r="D150" s="34"/>
      <c r="F150" s="34"/>
    </row>
    <row r="151" spans="2:6" x14ac:dyDescent="0.3">
      <c r="B151" s="34"/>
      <c r="C151" s="34"/>
      <c r="D151" s="34"/>
      <c r="F151" s="34"/>
    </row>
    <row r="152" spans="2:6" x14ac:dyDescent="0.3">
      <c r="B152" s="34"/>
      <c r="C152" s="34"/>
      <c r="D152" s="34"/>
      <c r="F152" s="34"/>
    </row>
    <row r="153" spans="2:6" x14ac:dyDescent="0.3">
      <c r="B153" s="34"/>
      <c r="C153" s="34"/>
      <c r="D153" s="34"/>
      <c r="F153" s="34"/>
    </row>
    <row r="154" spans="2:6" x14ac:dyDescent="0.3">
      <c r="B154" s="34"/>
      <c r="C154" s="34"/>
      <c r="D154" s="34"/>
      <c r="F154" s="34"/>
    </row>
    <row r="155" spans="2:6" x14ac:dyDescent="0.3">
      <c r="B155" s="34"/>
      <c r="C155" s="34"/>
      <c r="D155" s="34"/>
      <c r="F155" s="34"/>
    </row>
    <row r="156" spans="2:6" x14ac:dyDescent="0.3">
      <c r="B156" s="34"/>
      <c r="C156" s="34"/>
      <c r="D156" s="34"/>
      <c r="F156" s="34"/>
    </row>
    <row r="157" spans="2:6" x14ac:dyDescent="0.3">
      <c r="B157" s="34"/>
      <c r="C157" s="34"/>
      <c r="D157" s="34"/>
      <c r="F157" s="34"/>
    </row>
    <row r="158" spans="2:6" x14ac:dyDescent="0.3">
      <c r="B158" s="34"/>
      <c r="C158" s="34"/>
      <c r="D158" s="34"/>
      <c r="F158" s="34"/>
    </row>
    <row r="159" spans="2:6" x14ac:dyDescent="0.3">
      <c r="B159" s="34"/>
      <c r="C159" s="34"/>
      <c r="D159" s="34"/>
      <c r="F159" s="34"/>
    </row>
    <row r="160" spans="2:6" x14ac:dyDescent="0.3">
      <c r="B160" s="34"/>
      <c r="C160" s="34"/>
      <c r="D160" s="34"/>
      <c r="F160" s="34"/>
    </row>
    <row r="161" spans="2:6" x14ac:dyDescent="0.3">
      <c r="B161" s="34"/>
      <c r="C161" s="34"/>
      <c r="D161" s="34"/>
      <c r="F161" s="34"/>
    </row>
    <row r="162" spans="2:6" x14ac:dyDescent="0.3">
      <c r="B162" s="34"/>
      <c r="C162" s="34"/>
      <c r="D162" s="34"/>
      <c r="F162" s="34"/>
    </row>
    <row r="163" spans="2:6" x14ac:dyDescent="0.3">
      <c r="B163" s="34"/>
      <c r="C163" s="34"/>
      <c r="D163" s="34"/>
      <c r="F163" s="34"/>
    </row>
    <row r="164" spans="2:6" x14ac:dyDescent="0.3">
      <c r="B164" s="34"/>
      <c r="C164" s="34"/>
      <c r="D164" s="34"/>
      <c r="F164" s="34"/>
    </row>
    <row r="165" spans="2:6" x14ac:dyDescent="0.3">
      <c r="B165" s="34"/>
      <c r="C165" s="34"/>
      <c r="D165" s="34"/>
      <c r="F165" s="34"/>
    </row>
    <row r="166" spans="2:6" x14ac:dyDescent="0.3">
      <c r="B166" s="34"/>
      <c r="C166" s="34"/>
      <c r="D166" s="34"/>
      <c r="F166" s="34"/>
    </row>
    <row r="167" spans="2:6" x14ac:dyDescent="0.3">
      <c r="B167" s="34"/>
      <c r="C167" s="34"/>
      <c r="D167" s="34"/>
      <c r="F167" s="34"/>
    </row>
    <row r="168" spans="2:6" x14ac:dyDescent="0.3">
      <c r="B168" s="34"/>
      <c r="C168" s="34"/>
      <c r="D168" s="34"/>
      <c r="F168" s="34"/>
    </row>
    <row r="169" spans="2:6" x14ac:dyDescent="0.3">
      <c r="B169" s="34"/>
      <c r="C169" s="34"/>
      <c r="D169" s="34"/>
      <c r="F169" s="34"/>
    </row>
    <row r="170" spans="2:6" x14ac:dyDescent="0.3">
      <c r="B170" s="34"/>
      <c r="C170" s="34"/>
      <c r="D170" s="34"/>
      <c r="F170" s="34"/>
    </row>
    <row r="171" spans="2:6" x14ac:dyDescent="0.3">
      <c r="B171" s="34"/>
      <c r="C171" s="34"/>
      <c r="D171" s="34"/>
      <c r="F171" s="34"/>
    </row>
    <row r="172" spans="2:6" x14ac:dyDescent="0.3">
      <c r="B172" s="34"/>
      <c r="C172" s="34"/>
      <c r="D172" s="34"/>
      <c r="F172" s="34"/>
    </row>
    <row r="173" spans="2:6" x14ac:dyDescent="0.3">
      <c r="B173" s="34"/>
      <c r="C173" s="34"/>
      <c r="D173" s="34"/>
      <c r="F173" s="34"/>
    </row>
    <row r="174" spans="2:6" x14ac:dyDescent="0.3">
      <c r="B174" s="34"/>
      <c r="C174" s="34"/>
      <c r="D174" s="34"/>
      <c r="F174" s="34"/>
    </row>
    <row r="175" spans="2:6" x14ac:dyDescent="0.3">
      <c r="B175" s="34"/>
      <c r="C175" s="34"/>
      <c r="D175" s="34"/>
      <c r="F175" s="34"/>
    </row>
    <row r="176" spans="2:6" x14ac:dyDescent="0.3">
      <c r="B176" s="34"/>
      <c r="C176" s="34"/>
      <c r="D176" s="34"/>
      <c r="F176" s="34"/>
    </row>
    <row r="177" spans="2:6" x14ac:dyDescent="0.3">
      <c r="B177" s="34"/>
      <c r="C177" s="34"/>
      <c r="D177" s="34"/>
      <c r="F177" s="34"/>
    </row>
    <row r="178" spans="2:6" x14ac:dyDescent="0.3">
      <c r="B178" s="34"/>
      <c r="C178" s="34"/>
      <c r="D178" s="34"/>
      <c r="F178" s="34"/>
    </row>
    <row r="179" spans="2:6" x14ac:dyDescent="0.3">
      <c r="B179" s="34"/>
      <c r="C179" s="34"/>
      <c r="D179" s="34"/>
      <c r="F179" s="34"/>
    </row>
    <row r="180" spans="2:6" x14ac:dyDescent="0.3">
      <c r="B180" s="34"/>
      <c r="C180" s="34"/>
      <c r="D180" s="34"/>
      <c r="F180" s="34"/>
    </row>
    <row r="181" spans="2:6" x14ac:dyDescent="0.3">
      <c r="B181" s="34"/>
      <c r="C181" s="34"/>
      <c r="D181" s="34"/>
      <c r="F181" s="34"/>
    </row>
    <row r="182" spans="2:6" x14ac:dyDescent="0.3">
      <c r="B182" s="34"/>
      <c r="C182" s="34"/>
      <c r="D182" s="34"/>
      <c r="F182" s="34"/>
    </row>
    <row r="183" spans="2:6" x14ac:dyDescent="0.3">
      <c r="B183" s="34"/>
      <c r="C183" s="34"/>
      <c r="D183" s="34"/>
      <c r="F183" s="34"/>
    </row>
    <row r="184" spans="2:6" x14ac:dyDescent="0.3">
      <c r="B184" s="34"/>
      <c r="C184" s="34"/>
      <c r="D184" s="34"/>
      <c r="F184" s="34"/>
    </row>
    <row r="185" spans="2:6" x14ac:dyDescent="0.3">
      <c r="B185" s="34"/>
      <c r="C185" s="34"/>
      <c r="D185" s="34"/>
      <c r="F185" s="34"/>
    </row>
    <row r="186" spans="2:6" x14ac:dyDescent="0.3">
      <c r="B186" s="34"/>
      <c r="C186" s="34"/>
      <c r="D186" s="34"/>
      <c r="F186" s="34"/>
    </row>
    <row r="187" spans="2:6" x14ac:dyDescent="0.3">
      <c r="B187" s="34"/>
      <c r="C187" s="34"/>
      <c r="D187" s="34"/>
      <c r="F187" s="34"/>
    </row>
    <row r="188" spans="2:6" x14ac:dyDescent="0.3">
      <c r="B188" s="34"/>
      <c r="C188" s="34"/>
      <c r="D188" s="34"/>
      <c r="F188" s="34"/>
    </row>
    <row r="189" spans="2:6" x14ac:dyDescent="0.3">
      <c r="B189" s="34"/>
      <c r="C189" s="34"/>
      <c r="D189" s="34"/>
      <c r="F189" s="34"/>
    </row>
    <row r="190" spans="2:6" x14ac:dyDescent="0.3">
      <c r="B190" s="34"/>
      <c r="C190" s="34"/>
      <c r="D190" s="34"/>
      <c r="F190" s="34"/>
    </row>
    <row r="191" spans="2:6" x14ac:dyDescent="0.3">
      <c r="B191" s="34"/>
      <c r="C191" s="34"/>
      <c r="D191" s="34"/>
      <c r="F191" s="34"/>
    </row>
    <row r="192" spans="2:6" x14ac:dyDescent="0.3">
      <c r="B192" s="34"/>
      <c r="C192" s="34"/>
      <c r="D192" s="34"/>
      <c r="F192" s="34"/>
    </row>
    <row r="193" spans="2:6" x14ac:dyDescent="0.3">
      <c r="B193" s="34"/>
      <c r="C193" s="34"/>
      <c r="D193" s="34"/>
      <c r="F193" s="34"/>
    </row>
    <row r="194" spans="2:6" x14ac:dyDescent="0.3">
      <c r="B194" s="34"/>
      <c r="C194" s="34"/>
      <c r="D194" s="34"/>
      <c r="F194" s="34"/>
    </row>
    <row r="195" spans="2:6" x14ac:dyDescent="0.3">
      <c r="B195" s="34"/>
      <c r="C195" s="34"/>
      <c r="D195" s="34"/>
      <c r="F195" s="34"/>
    </row>
    <row r="196" spans="2:6" x14ac:dyDescent="0.3">
      <c r="B196" s="34"/>
      <c r="C196" s="34"/>
      <c r="D196" s="34"/>
      <c r="F196" s="34"/>
    </row>
    <row r="197" spans="2:6" x14ac:dyDescent="0.3">
      <c r="B197" s="34"/>
      <c r="C197" s="34"/>
      <c r="D197" s="34"/>
      <c r="F197" s="34"/>
    </row>
    <row r="198" spans="2:6" x14ac:dyDescent="0.3">
      <c r="B198" s="34"/>
      <c r="C198" s="34"/>
      <c r="D198" s="34"/>
      <c r="F198" s="34"/>
    </row>
    <row r="199" spans="2:6" x14ac:dyDescent="0.3">
      <c r="B199" s="34"/>
      <c r="C199" s="34"/>
      <c r="D199" s="34"/>
      <c r="F199" s="34"/>
    </row>
    <row r="200" spans="2:6" x14ac:dyDescent="0.3">
      <c r="B200" s="34"/>
      <c r="C200" s="34"/>
      <c r="D200" s="34"/>
      <c r="F200" s="34"/>
    </row>
    <row r="201" spans="2:6" x14ac:dyDescent="0.3">
      <c r="B201" s="34"/>
      <c r="C201" s="34"/>
      <c r="D201" s="34"/>
      <c r="F201" s="34"/>
    </row>
    <row r="202" spans="2:6" x14ac:dyDescent="0.3">
      <c r="B202" s="34"/>
      <c r="C202" s="34"/>
      <c r="D202" s="34"/>
      <c r="F202" s="34"/>
    </row>
    <row r="203" spans="2:6" x14ac:dyDescent="0.3">
      <c r="B203" s="34"/>
      <c r="C203" s="34"/>
      <c r="D203" s="34"/>
      <c r="F203" s="34"/>
    </row>
    <row r="204" spans="2:6" x14ac:dyDescent="0.3">
      <c r="B204" s="34"/>
      <c r="C204" s="34"/>
      <c r="D204" s="34"/>
      <c r="F204" s="34"/>
    </row>
    <row r="205" spans="2:6" x14ac:dyDescent="0.3">
      <c r="B205" s="34"/>
      <c r="C205" s="34"/>
      <c r="D205" s="34"/>
      <c r="F205" s="34"/>
    </row>
    <row r="206" spans="2:6" x14ac:dyDescent="0.3">
      <c r="B206" s="34"/>
      <c r="C206" s="34"/>
      <c r="D206" s="34"/>
      <c r="F206" s="34"/>
    </row>
    <row r="207" spans="2:6" x14ac:dyDescent="0.3">
      <c r="B207" s="34"/>
      <c r="C207" s="34"/>
      <c r="D207" s="34"/>
      <c r="F207" s="34"/>
    </row>
    <row r="208" spans="2:6" x14ac:dyDescent="0.3">
      <c r="B208" s="34"/>
      <c r="C208" s="34"/>
      <c r="D208" s="34"/>
      <c r="F208" s="34"/>
    </row>
    <row r="209" spans="2:6" x14ac:dyDescent="0.3">
      <c r="B209" s="34"/>
      <c r="C209" s="34"/>
      <c r="D209" s="34"/>
      <c r="F209" s="34"/>
    </row>
    <row r="210" spans="2:6" x14ac:dyDescent="0.3">
      <c r="B210" s="34"/>
      <c r="C210" s="34"/>
      <c r="D210" s="34"/>
      <c r="F210" s="34"/>
    </row>
    <row r="211" spans="2:6" x14ac:dyDescent="0.3">
      <c r="B211" s="34"/>
      <c r="C211" s="34"/>
      <c r="D211" s="34"/>
      <c r="F211" s="34"/>
    </row>
    <row r="212" spans="2:6" x14ac:dyDescent="0.3">
      <c r="B212" s="34"/>
      <c r="C212" s="34"/>
      <c r="D212" s="34"/>
      <c r="F212" s="34"/>
    </row>
    <row r="213" spans="2:6" x14ac:dyDescent="0.3">
      <c r="B213" s="34"/>
      <c r="C213" s="34"/>
      <c r="D213" s="34"/>
      <c r="F213" s="34"/>
    </row>
    <row r="214" spans="2:6" x14ac:dyDescent="0.3">
      <c r="B214" s="34"/>
      <c r="C214" s="34"/>
      <c r="D214" s="34"/>
      <c r="F214" s="34"/>
    </row>
    <row r="215" spans="2:6" x14ac:dyDescent="0.3">
      <c r="B215" s="34"/>
      <c r="C215" s="34"/>
      <c r="D215" s="34"/>
      <c r="F215" s="34"/>
    </row>
    <row r="216" spans="2:6" x14ac:dyDescent="0.3">
      <c r="B216" s="34"/>
      <c r="C216" s="34"/>
      <c r="D216" s="34"/>
      <c r="F216" s="34"/>
    </row>
    <row r="217" spans="2:6" x14ac:dyDescent="0.3">
      <c r="B217" s="34"/>
      <c r="C217" s="34"/>
      <c r="D217" s="34"/>
      <c r="F217" s="34"/>
    </row>
    <row r="218" spans="2:6" x14ac:dyDescent="0.3">
      <c r="B218" s="34"/>
      <c r="C218" s="34"/>
      <c r="D218" s="34"/>
      <c r="F218" s="34"/>
    </row>
    <row r="219" spans="2:6" x14ac:dyDescent="0.3">
      <c r="B219" s="34"/>
      <c r="C219" s="34"/>
      <c r="D219" s="34"/>
      <c r="F219" s="34"/>
    </row>
    <row r="220" spans="2:6" x14ac:dyDescent="0.3">
      <c r="B220" s="34"/>
      <c r="C220" s="34"/>
      <c r="D220" s="34"/>
      <c r="F220" s="34"/>
    </row>
    <row r="221" spans="2:6" x14ac:dyDescent="0.3">
      <c r="B221" s="34"/>
      <c r="C221" s="34"/>
      <c r="D221" s="34"/>
      <c r="F221" s="34"/>
    </row>
    <row r="222" spans="2:6" x14ac:dyDescent="0.3">
      <c r="B222" s="34"/>
      <c r="C222" s="34"/>
      <c r="D222" s="34"/>
      <c r="F222" s="34"/>
    </row>
    <row r="223" spans="2:6" x14ac:dyDescent="0.3">
      <c r="B223" s="34"/>
      <c r="C223" s="34"/>
      <c r="D223" s="34"/>
      <c r="F223" s="34"/>
    </row>
    <row r="224" spans="2:6" x14ac:dyDescent="0.3">
      <c r="B224" s="34"/>
      <c r="C224" s="34"/>
      <c r="D224" s="34"/>
      <c r="F224" s="34"/>
    </row>
    <row r="225" spans="2:6" x14ac:dyDescent="0.3">
      <c r="B225" s="34"/>
      <c r="C225" s="34"/>
      <c r="D225" s="34"/>
      <c r="F225" s="34"/>
    </row>
    <row r="226" spans="2:6" x14ac:dyDescent="0.3">
      <c r="B226" s="34"/>
      <c r="C226" s="34"/>
      <c r="D226" s="34"/>
      <c r="F226" s="34"/>
    </row>
    <row r="227" spans="2:6" x14ac:dyDescent="0.3">
      <c r="B227" s="34"/>
      <c r="C227" s="34"/>
      <c r="D227" s="34"/>
      <c r="F227" s="34"/>
    </row>
    <row r="228" spans="2:6" x14ac:dyDescent="0.3">
      <c r="B228" s="34"/>
      <c r="C228" s="34"/>
      <c r="D228" s="34"/>
      <c r="F228" s="34"/>
    </row>
    <row r="229" spans="2:6" x14ac:dyDescent="0.3">
      <c r="B229" s="34"/>
      <c r="C229" s="34"/>
      <c r="D229" s="34"/>
      <c r="F229" s="34"/>
    </row>
    <row r="230" spans="2:6" x14ac:dyDescent="0.3">
      <c r="B230" s="34"/>
      <c r="C230" s="34"/>
      <c r="D230" s="34"/>
      <c r="F230" s="34"/>
    </row>
    <row r="231" spans="2:6" x14ac:dyDescent="0.3">
      <c r="B231" s="34"/>
      <c r="C231" s="34"/>
      <c r="D231" s="34"/>
      <c r="F231" s="34"/>
    </row>
    <row r="232" spans="2:6" x14ac:dyDescent="0.3">
      <c r="B232" s="34"/>
      <c r="C232" s="34"/>
      <c r="D232" s="34"/>
      <c r="F232" s="34"/>
    </row>
    <row r="233" spans="2:6" x14ac:dyDescent="0.3">
      <c r="B233" s="34"/>
      <c r="C233" s="34"/>
      <c r="D233" s="34"/>
      <c r="F233" s="34"/>
    </row>
    <row r="234" spans="2:6" x14ac:dyDescent="0.3">
      <c r="B234" s="34"/>
      <c r="C234" s="34"/>
      <c r="D234" s="34"/>
      <c r="F234" s="34"/>
    </row>
    <row r="235" spans="2:6" x14ac:dyDescent="0.3">
      <c r="B235" s="34"/>
      <c r="C235" s="34"/>
      <c r="D235" s="34"/>
      <c r="F235" s="34"/>
    </row>
    <row r="236" spans="2:6" x14ac:dyDescent="0.3">
      <c r="B236" s="34"/>
      <c r="C236" s="34"/>
      <c r="D236" s="34"/>
      <c r="F236" s="34"/>
    </row>
    <row r="237" spans="2:6" x14ac:dyDescent="0.3">
      <c r="B237" s="34"/>
      <c r="C237" s="34"/>
      <c r="D237" s="34"/>
      <c r="F237" s="34"/>
    </row>
    <row r="238" spans="2:6" x14ac:dyDescent="0.3">
      <c r="B238" s="34"/>
      <c r="C238" s="34"/>
      <c r="D238" s="34"/>
      <c r="F238" s="34"/>
    </row>
    <row r="239" spans="2:6" x14ac:dyDescent="0.3">
      <c r="B239" s="34"/>
      <c r="C239" s="34"/>
      <c r="D239" s="34"/>
      <c r="F239" s="34"/>
    </row>
    <row r="240" spans="2:6" x14ac:dyDescent="0.3">
      <c r="B240" s="34"/>
      <c r="C240" s="34"/>
      <c r="D240" s="34"/>
      <c r="F240" s="34"/>
    </row>
    <row r="241" spans="2:6" x14ac:dyDescent="0.3">
      <c r="B241" s="34"/>
      <c r="C241" s="34"/>
      <c r="D241" s="34"/>
      <c r="F241" s="34"/>
    </row>
    <row r="242" spans="2:6" x14ac:dyDescent="0.3">
      <c r="B242" s="34"/>
      <c r="C242" s="34"/>
      <c r="D242" s="34"/>
      <c r="F242" s="34"/>
    </row>
    <row r="243" spans="2:6" x14ac:dyDescent="0.3">
      <c r="B243" s="34"/>
      <c r="C243" s="34"/>
      <c r="D243" s="34"/>
      <c r="F243" s="34"/>
    </row>
    <row r="244" spans="2:6" x14ac:dyDescent="0.3">
      <c r="B244" s="34"/>
      <c r="C244" s="34"/>
      <c r="D244" s="34"/>
      <c r="F244" s="34"/>
    </row>
    <row r="245" spans="2:6" x14ac:dyDescent="0.3">
      <c r="B245" s="34"/>
      <c r="C245" s="34"/>
      <c r="D245" s="34"/>
      <c r="F245" s="34"/>
    </row>
    <row r="246" spans="2:6" x14ac:dyDescent="0.3">
      <c r="B246" s="34"/>
      <c r="C246" s="34"/>
      <c r="D246" s="34"/>
      <c r="F246" s="34"/>
    </row>
    <row r="247" spans="2:6" x14ac:dyDescent="0.3">
      <c r="B247" s="34"/>
      <c r="C247" s="34"/>
      <c r="D247" s="34"/>
      <c r="F247" s="34"/>
    </row>
    <row r="248" spans="2:6" x14ac:dyDescent="0.3">
      <c r="B248" s="34"/>
      <c r="C248" s="34"/>
      <c r="D248" s="34"/>
      <c r="F248" s="34"/>
    </row>
    <row r="249" spans="2:6" x14ac:dyDescent="0.3">
      <c r="B249" s="34"/>
      <c r="C249" s="34"/>
      <c r="D249" s="34"/>
      <c r="F249" s="34"/>
    </row>
    <row r="250" spans="2:6" x14ac:dyDescent="0.3">
      <c r="B250" s="34"/>
      <c r="C250" s="34"/>
      <c r="D250" s="34"/>
      <c r="F250" s="34"/>
    </row>
    <row r="251" spans="2:6" x14ac:dyDescent="0.3">
      <c r="B251" s="34"/>
      <c r="C251" s="34"/>
      <c r="D251" s="34"/>
      <c r="F251" s="34"/>
    </row>
    <row r="252" spans="2:6" x14ac:dyDescent="0.3">
      <c r="B252" s="34"/>
      <c r="C252" s="34"/>
      <c r="D252" s="34"/>
      <c r="F252" s="34"/>
    </row>
    <row r="253" spans="2:6" x14ac:dyDescent="0.3">
      <c r="B253" s="34"/>
      <c r="C253" s="34"/>
      <c r="D253" s="34"/>
      <c r="F253" s="34"/>
    </row>
    <row r="254" spans="2:6" x14ac:dyDescent="0.3">
      <c r="B254" s="34"/>
      <c r="C254" s="34"/>
      <c r="D254" s="34"/>
      <c r="F254" s="34"/>
    </row>
    <row r="255" spans="2:6" x14ac:dyDescent="0.3">
      <c r="B255" s="34"/>
      <c r="C255" s="34"/>
      <c r="D255" s="34"/>
      <c r="F255" s="34"/>
    </row>
    <row r="256" spans="2:6" x14ac:dyDescent="0.3">
      <c r="B256" s="34"/>
      <c r="C256" s="34"/>
      <c r="D256" s="34"/>
      <c r="F256" s="34"/>
    </row>
    <row r="257" spans="2:6" x14ac:dyDescent="0.3">
      <c r="B257" s="34"/>
      <c r="C257" s="34"/>
      <c r="D257" s="34"/>
      <c r="F257" s="34"/>
    </row>
    <row r="258" spans="2:6" x14ac:dyDescent="0.3">
      <c r="B258" s="34"/>
      <c r="C258" s="34"/>
      <c r="D258" s="34"/>
      <c r="F258" s="34"/>
    </row>
    <row r="259" spans="2:6" x14ac:dyDescent="0.3">
      <c r="B259" s="34"/>
      <c r="C259" s="34"/>
      <c r="D259" s="34"/>
      <c r="F259" s="34"/>
    </row>
    <row r="260" spans="2:6" x14ac:dyDescent="0.3">
      <c r="B260" s="34"/>
      <c r="C260" s="34"/>
      <c r="D260" s="34"/>
      <c r="F260" s="34"/>
    </row>
    <row r="261" spans="2:6" x14ac:dyDescent="0.3">
      <c r="B261" s="34"/>
      <c r="C261" s="34"/>
      <c r="D261" s="34"/>
      <c r="F261" s="34"/>
    </row>
    <row r="262" spans="2:6" x14ac:dyDescent="0.3">
      <c r="B262" s="34"/>
      <c r="C262" s="34"/>
      <c r="D262" s="34"/>
      <c r="F262" s="34"/>
    </row>
    <row r="263" spans="2:6" x14ac:dyDescent="0.3">
      <c r="B263" s="34"/>
      <c r="C263" s="34"/>
      <c r="D263" s="34"/>
      <c r="F263" s="34"/>
    </row>
    <row r="264" spans="2:6" x14ac:dyDescent="0.3">
      <c r="B264" s="34"/>
      <c r="C264" s="34"/>
      <c r="D264" s="34"/>
      <c r="F264" s="34"/>
    </row>
    <row r="265" spans="2:6" x14ac:dyDescent="0.3">
      <c r="B265" s="34"/>
      <c r="C265" s="34"/>
      <c r="D265" s="34"/>
      <c r="F265" s="34"/>
    </row>
    <row r="266" spans="2:6" x14ac:dyDescent="0.3">
      <c r="B266" s="34"/>
      <c r="C266" s="34"/>
      <c r="D266" s="34"/>
      <c r="F266" s="34"/>
    </row>
    <row r="267" spans="2:6" x14ac:dyDescent="0.3">
      <c r="B267" s="34"/>
      <c r="C267" s="34"/>
      <c r="D267" s="34"/>
      <c r="F267" s="34"/>
    </row>
    <row r="268" spans="2:6" x14ac:dyDescent="0.3">
      <c r="B268" s="34"/>
      <c r="C268" s="34"/>
      <c r="D268" s="34"/>
      <c r="F268" s="34"/>
    </row>
    <row r="269" spans="2:6" x14ac:dyDescent="0.3">
      <c r="B269" s="34"/>
      <c r="C269" s="34"/>
      <c r="D269" s="34"/>
      <c r="F269" s="34"/>
    </row>
    <row r="270" spans="2:6" x14ac:dyDescent="0.3">
      <c r="B270" s="34"/>
      <c r="C270" s="34"/>
      <c r="D270" s="34"/>
      <c r="F270" s="34"/>
    </row>
    <row r="271" spans="2:6" x14ac:dyDescent="0.3">
      <c r="B271" s="34"/>
      <c r="C271" s="34"/>
      <c r="D271" s="34"/>
      <c r="F271" s="34"/>
    </row>
    <row r="272" spans="2:6" x14ac:dyDescent="0.3">
      <c r="B272" s="34"/>
      <c r="C272" s="34"/>
      <c r="D272" s="34"/>
      <c r="F272" s="34"/>
    </row>
    <row r="273" spans="2:6" x14ac:dyDescent="0.3">
      <c r="B273" s="34"/>
      <c r="C273" s="34"/>
      <c r="D273" s="34"/>
      <c r="F273" s="34"/>
    </row>
    <row r="274" spans="2:6" x14ac:dyDescent="0.3">
      <c r="B274" s="34"/>
      <c r="C274" s="34"/>
      <c r="D274" s="34"/>
      <c r="F274" s="34"/>
    </row>
    <row r="275" spans="2:6" x14ac:dyDescent="0.3">
      <c r="B275" s="34"/>
      <c r="C275" s="34"/>
      <c r="D275" s="34"/>
      <c r="F275" s="34"/>
    </row>
    <row r="276" spans="2:6" x14ac:dyDescent="0.3">
      <c r="B276" s="34"/>
      <c r="C276" s="34"/>
      <c r="D276" s="34"/>
      <c r="F276" s="34"/>
    </row>
    <row r="277" spans="2:6" x14ac:dyDescent="0.3">
      <c r="B277" s="34"/>
      <c r="C277" s="34"/>
      <c r="D277" s="34"/>
      <c r="F277" s="34"/>
    </row>
    <row r="278" spans="2:6" x14ac:dyDescent="0.3">
      <c r="B278" s="34"/>
      <c r="C278" s="34"/>
      <c r="D278" s="34"/>
      <c r="F278" s="34"/>
    </row>
    <row r="279" spans="2:6" x14ac:dyDescent="0.3">
      <c r="B279" s="34"/>
      <c r="C279" s="34"/>
      <c r="D279" s="34"/>
      <c r="F279" s="34"/>
    </row>
    <row r="280" spans="2:6" x14ac:dyDescent="0.3">
      <c r="B280" s="34"/>
      <c r="C280" s="34"/>
      <c r="D280" s="34"/>
      <c r="F280" s="34"/>
    </row>
    <row r="281" spans="2:6" x14ac:dyDescent="0.3">
      <c r="B281" s="34"/>
      <c r="C281" s="34"/>
      <c r="D281" s="34"/>
      <c r="F281" s="34"/>
    </row>
    <row r="282" spans="2:6" x14ac:dyDescent="0.3">
      <c r="B282" s="34"/>
      <c r="C282" s="34"/>
      <c r="D282" s="34"/>
      <c r="F282" s="34"/>
    </row>
    <row r="283" spans="2:6" x14ac:dyDescent="0.3">
      <c r="B283" s="34"/>
      <c r="C283" s="34"/>
      <c r="D283" s="34"/>
      <c r="F283" s="34"/>
    </row>
    <row r="284" spans="2:6" x14ac:dyDescent="0.3">
      <c r="B284" s="34"/>
      <c r="C284" s="34"/>
      <c r="D284" s="34"/>
      <c r="F284" s="34"/>
    </row>
    <row r="285" spans="2:6" x14ac:dyDescent="0.3">
      <c r="B285" s="34"/>
      <c r="C285" s="34"/>
      <c r="D285" s="34"/>
      <c r="F285" s="34"/>
    </row>
    <row r="286" spans="2:6" x14ac:dyDescent="0.3">
      <c r="B286" s="34"/>
      <c r="C286" s="34"/>
      <c r="D286" s="34"/>
      <c r="F286" s="34"/>
    </row>
    <row r="287" spans="2:6" x14ac:dyDescent="0.3">
      <c r="B287" s="34"/>
      <c r="C287" s="34"/>
      <c r="D287" s="34"/>
      <c r="F287" s="34"/>
    </row>
    <row r="288" spans="2:6" x14ac:dyDescent="0.3">
      <c r="B288" s="34"/>
      <c r="C288" s="34"/>
      <c r="D288" s="34"/>
      <c r="F288" s="34"/>
    </row>
    <row r="289" spans="2:6" x14ac:dyDescent="0.3">
      <c r="B289" s="34"/>
      <c r="C289" s="34"/>
      <c r="D289" s="34"/>
      <c r="F289" s="34"/>
    </row>
    <row r="290" spans="2:6" x14ac:dyDescent="0.3">
      <c r="B290" s="34"/>
      <c r="C290" s="34"/>
      <c r="D290" s="34"/>
      <c r="F290" s="34"/>
    </row>
    <row r="291" spans="2:6" x14ac:dyDescent="0.3">
      <c r="B291" s="34"/>
      <c r="C291" s="34"/>
      <c r="D291" s="34"/>
      <c r="F291" s="34"/>
    </row>
    <row r="292" spans="2:6" x14ac:dyDescent="0.3">
      <c r="B292" s="34"/>
      <c r="C292" s="34"/>
      <c r="D292" s="34"/>
      <c r="F292" s="34"/>
    </row>
    <row r="293" spans="2:6" x14ac:dyDescent="0.3">
      <c r="B293" s="34"/>
      <c r="C293" s="34"/>
      <c r="D293" s="34"/>
      <c r="F293" s="34"/>
    </row>
    <row r="294" spans="2:6" x14ac:dyDescent="0.3">
      <c r="B294" s="34"/>
      <c r="C294" s="34"/>
      <c r="D294" s="34"/>
      <c r="F294" s="34"/>
    </row>
    <row r="295" spans="2:6" x14ac:dyDescent="0.3">
      <c r="B295" s="34"/>
      <c r="C295" s="34"/>
      <c r="D295" s="34"/>
      <c r="F295" s="34"/>
    </row>
    <row r="296" spans="2:6" x14ac:dyDescent="0.3">
      <c r="B296" s="34"/>
      <c r="C296" s="34"/>
      <c r="D296" s="34"/>
      <c r="F296" s="34"/>
    </row>
    <row r="297" spans="2:6" x14ac:dyDescent="0.3">
      <c r="B297" s="34"/>
      <c r="C297" s="34"/>
      <c r="D297" s="34"/>
      <c r="F297" s="34"/>
    </row>
    <row r="298" spans="2:6" x14ac:dyDescent="0.3">
      <c r="B298" s="34"/>
      <c r="C298" s="34"/>
      <c r="D298" s="34"/>
      <c r="F298" s="34"/>
    </row>
    <row r="299" spans="2:6" x14ac:dyDescent="0.3">
      <c r="B299" s="34"/>
      <c r="C299" s="34"/>
      <c r="D299" s="34"/>
      <c r="F299" s="34"/>
    </row>
    <row r="300" spans="2:6" x14ac:dyDescent="0.3">
      <c r="B300" s="34"/>
      <c r="C300" s="34"/>
      <c r="D300" s="34"/>
      <c r="F300" s="34"/>
    </row>
    <row r="301" spans="2:6" x14ac:dyDescent="0.3">
      <c r="B301" s="34"/>
      <c r="C301" s="34"/>
      <c r="D301" s="34"/>
      <c r="F301" s="34"/>
    </row>
    <row r="302" spans="2:6" x14ac:dyDescent="0.3">
      <c r="B302" s="34"/>
      <c r="C302" s="34"/>
      <c r="D302" s="34"/>
      <c r="F302" s="34"/>
    </row>
    <row r="303" spans="2:6" x14ac:dyDescent="0.3">
      <c r="B303" s="34"/>
      <c r="C303" s="34"/>
      <c r="D303" s="34"/>
      <c r="F303" s="34"/>
    </row>
    <row r="304" spans="2:6" x14ac:dyDescent="0.3">
      <c r="B304" s="34"/>
      <c r="C304" s="34"/>
      <c r="D304" s="34"/>
      <c r="F304" s="34"/>
    </row>
    <row r="305" spans="2:6" x14ac:dyDescent="0.3">
      <c r="B305" s="34"/>
      <c r="C305" s="34"/>
      <c r="D305" s="34"/>
      <c r="F305" s="34"/>
    </row>
    <row r="306" spans="2:6" x14ac:dyDescent="0.3">
      <c r="B306" s="34"/>
      <c r="C306" s="34"/>
      <c r="D306" s="34"/>
      <c r="F306" s="34"/>
    </row>
    <row r="307" spans="2:6" x14ac:dyDescent="0.3">
      <c r="B307" s="34"/>
      <c r="C307" s="34"/>
      <c r="D307" s="34"/>
      <c r="F307" s="34"/>
    </row>
    <row r="308" spans="2:6" x14ac:dyDescent="0.3">
      <c r="B308" s="34"/>
      <c r="C308" s="34"/>
      <c r="D308" s="34"/>
      <c r="F308" s="34"/>
    </row>
    <row r="309" spans="2:6" x14ac:dyDescent="0.3">
      <c r="B309" s="34"/>
      <c r="C309" s="34"/>
      <c r="D309" s="34"/>
      <c r="F309" s="34"/>
    </row>
    <row r="310" spans="2:6" x14ac:dyDescent="0.3">
      <c r="B310" s="34"/>
      <c r="C310" s="34"/>
      <c r="D310" s="34"/>
      <c r="F310" s="34"/>
    </row>
    <row r="311" spans="2:6" x14ac:dyDescent="0.3">
      <c r="B311" s="34"/>
      <c r="C311" s="34"/>
      <c r="D311" s="34"/>
      <c r="F311" s="34"/>
    </row>
    <row r="312" spans="2:6" x14ac:dyDescent="0.3">
      <c r="B312" s="34"/>
      <c r="C312" s="34"/>
      <c r="D312" s="34"/>
      <c r="F312" s="34"/>
    </row>
    <row r="313" spans="2:6" x14ac:dyDescent="0.3">
      <c r="B313" s="34"/>
      <c r="C313" s="34"/>
      <c r="D313" s="34"/>
      <c r="F313" s="34"/>
    </row>
    <row r="314" spans="2:6" x14ac:dyDescent="0.3">
      <c r="B314" s="34"/>
      <c r="C314" s="34"/>
      <c r="D314" s="34"/>
      <c r="F314" s="34"/>
    </row>
    <row r="315" spans="2:6" x14ac:dyDescent="0.3">
      <c r="B315" s="34"/>
      <c r="C315" s="34"/>
      <c r="D315" s="34"/>
      <c r="F315" s="34"/>
    </row>
    <row r="316" spans="2:6" x14ac:dyDescent="0.3">
      <c r="B316" s="34"/>
      <c r="C316" s="34"/>
      <c r="D316" s="34"/>
      <c r="F316" s="34"/>
    </row>
    <row r="317" spans="2:6" x14ac:dyDescent="0.3">
      <c r="B317" s="34"/>
      <c r="C317" s="34"/>
      <c r="D317" s="34"/>
      <c r="F317" s="34"/>
    </row>
    <row r="318" spans="2:6" x14ac:dyDescent="0.3">
      <c r="B318" s="34"/>
      <c r="C318" s="34"/>
      <c r="D318" s="34"/>
      <c r="F318" s="34"/>
    </row>
    <row r="319" spans="2:6" x14ac:dyDescent="0.3">
      <c r="B319" s="34"/>
      <c r="C319" s="34"/>
      <c r="D319" s="34"/>
      <c r="F319" s="34"/>
    </row>
    <row r="320" spans="2:6" x14ac:dyDescent="0.3">
      <c r="B320" s="34"/>
      <c r="C320" s="34"/>
      <c r="D320" s="34"/>
      <c r="F320" s="34"/>
    </row>
    <row r="321" spans="2:6" x14ac:dyDescent="0.3">
      <c r="B321" s="34"/>
      <c r="C321" s="34"/>
      <c r="D321" s="34"/>
      <c r="F321" s="34"/>
    </row>
    <row r="322" spans="2:6" x14ac:dyDescent="0.3">
      <c r="B322" s="34"/>
      <c r="C322" s="34"/>
      <c r="D322" s="34"/>
      <c r="F322" s="34"/>
    </row>
    <row r="323" spans="2:6" x14ac:dyDescent="0.3">
      <c r="B323" s="34"/>
      <c r="C323" s="34"/>
      <c r="D323" s="34"/>
      <c r="F323" s="34"/>
    </row>
    <row r="324" spans="2:6" x14ac:dyDescent="0.3">
      <c r="B324" s="34"/>
      <c r="C324" s="34"/>
      <c r="D324" s="34"/>
      <c r="F324" s="34"/>
    </row>
    <row r="325" spans="2:6" x14ac:dyDescent="0.3">
      <c r="B325" s="34"/>
      <c r="C325" s="34"/>
      <c r="D325" s="34"/>
      <c r="F325" s="34"/>
    </row>
    <row r="326" spans="2:6" x14ac:dyDescent="0.3">
      <c r="B326" s="34"/>
      <c r="C326" s="34"/>
      <c r="D326" s="34"/>
      <c r="F326" s="34"/>
    </row>
    <row r="327" spans="2:6" x14ac:dyDescent="0.3">
      <c r="B327" s="34"/>
      <c r="C327" s="34"/>
      <c r="D327" s="34"/>
      <c r="F327" s="34"/>
    </row>
    <row r="328" spans="2:6" x14ac:dyDescent="0.3">
      <c r="B328" s="34"/>
      <c r="C328" s="34"/>
      <c r="D328" s="34"/>
      <c r="F328" s="34"/>
    </row>
    <row r="329" spans="2:6" x14ac:dyDescent="0.3">
      <c r="B329" s="34"/>
      <c r="C329" s="34"/>
      <c r="D329" s="34"/>
      <c r="F329" s="34"/>
    </row>
    <row r="330" spans="2:6" x14ac:dyDescent="0.3">
      <c r="B330" s="34"/>
      <c r="C330" s="34"/>
      <c r="D330" s="34"/>
      <c r="F330" s="34"/>
    </row>
    <row r="331" spans="2:6" x14ac:dyDescent="0.3">
      <c r="B331" s="34"/>
      <c r="C331" s="34"/>
      <c r="D331" s="34"/>
      <c r="F331" s="34"/>
    </row>
    <row r="332" spans="2:6" x14ac:dyDescent="0.3">
      <c r="B332" s="34"/>
      <c r="C332" s="34"/>
      <c r="D332" s="34"/>
      <c r="F332" s="34"/>
    </row>
    <row r="333" spans="2:6" x14ac:dyDescent="0.3">
      <c r="B333" s="34"/>
      <c r="C333" s="34"/>
      <c r="D333" s="34"/>
      <c r="F333" s="34"/>
    </row>
    <row r="334" spans="2:6" x14ac:dyDescent="0.3">
      <c r="B334" s="34"/>
      <c r="C334" s="34"/>
      <c r="D334" s="34"/>
      <c r="F334" s="34"/>
    </row>
    <row r="335" spans="2:6" x14ac:dyDescent="0.3">
      <c r="B335" s="34"/>
      <c r="C335" s="34"/>
      <c r="D335" s="34"/>
      <c r="F335" s="34"/>
    </row>
    <row r="336" spans="2:6" x14ac:dyDescent="0.3">
      <c r="B336" s="34"/>
      <c r="C336" s="34"/>
      <c r="D336" s="34"/>
      <c r="F336" s="34"/>
    </row>
    <row r="337" spans="2:6" x14ac:dyDescent="0.3">
      <c r="B337" s="34"/>
      <c r="C337" s="34"/>
      <c r="D337" s="34"/>
      <c r="F337" s="34"/>
    </row>
    <row r="338" spans="2:6" x14ac:dyDescent="0.3">
      <c r="B338" s="34"/>
      <c r="C338" s="34"/>
      <c r="D338" s="34"/>
      <c r="F338" s="34"/>
    </row>
    <row r="339" spans="2:6" x14ac:dyDescent="0.3">
      <c r="B339" s="34"/>
      <c r="C339" s="34"/>
      <c r="D339" s="34"/>
      <c r="F339" s="34"/>
    </row>
    <row r="340" spans="2:6" x14ac:dyDescent="0.3">
      <c r="B340" s="34"/>
      <c r="C340" s="34"/>
      <c r="D340" s="34"/>
      <c r="F340" s="34"/>
    </row>
    <row r="341" spans="2:6" x14ac:dyDescent="0.3">
      <c r="B341" s="34"/>
      <c r="C341" s="34"/>
      <c r="D341" s="34"/>
      <c r="F341" s="34"/>
    </row>
    <row r="342" spans="2:6" x14ac:dyDescent="0.3">
      <c r="B342" s="34"/>
      <c r="C342" s="34"/>
      <c r="D342" s="34"/>
      <c r="F342" s="34"/>
    </row>
    <row r="343" spans="2:6" x14ac:dyDescent="0.3">
      <c r="B343" s="34"/>
      <c r="C343" s="34"/>
      <c r="D343" s="34"/>
      <c r="F343" s="34"/>
    </row>
    <row r="344" spans="2:6" x14ac:dyDescent="0.3">
      <c r="B344" s="34"/>
      <c r="C344" s="34"/>
      <c r="D344" s="34"/>
      <c r="F344" s="34"/>
    </row>
    <row r="345" spans="2:6" x14ac:dyDescent="0.3">
      <c r="B345" s="34"/>
      <c r="C345" s="34"/>
      <c r="D345" s="34"/>
      <c r="F345" s="34"/>
    </row>
    <row r="346" spans="2:6" x14ac:dyDescent="0.3">
      <c r="B346" s="34"/>
      <c r="C346" s="34"/>
      <c r="D346" s="34"/>
      <c r="F346" s="34"/>
    </row>
    <row r="347" spans="2:6" x14ac:dyDescent="0.3">
      <c r="B347" s="34"/>
      <c r="C347" s="34"/>
      <c r="D347" s="34"/>
      <c r="F347" s="34"/>
    </row>
    <row r="348" spans="2:6" x14ac:dyDescent="0.3">
      <c r="B348" s="34"/>
      <c r="C348" s="34"/>
      <c r="D348" s="34"/>
      <c r="F348" s="34"/>
    </row>
    <row r="349" spans="2:6" x14ac:dyDescent="0.3">
      <c r="B349" s="34"/>
      <c r="C349" s="34"/>
      <c r="D349" s="34"/>
      <c r="F349" s="34"/>
    </row>
    <row r="350" spans="2:6" x14ac:dyDescent="0.3">
      <c r="B350" s="34"/>
      <c r="C350" s="34"/>
      <c r="D350" s="34"/>
      <c r="F350" s="34"/>
    </row>
  </sheetData>
  <mergeCells count="5">
    <mergeCell ref="A3:E3"/>
    <mergeCell ref="A4:E4"/>
    <mergeCell ref="A6:E6"/>
    <mergeCell ref="A11:E11"/>
    <mergeCell ref="A2:E2"/>
  </mergeCells>
  <pageMargins left="0.511811024" right="0.511811024" top="0.78740157499999996" bottom="0.78740157499999996" header="0.31496062000000002" footer="0.31496062000000002"/>
  <pageSetup paperSize="9" scale="28" fitToHeight="0" orientation="portrait" r:id="rId1"/>
  <rowBreaks count="1" manualBreakCount="1">
    <brk id="22" max="4"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H20" sqref="H20:K20"/>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368</v>
      </c>
      <c r="H7" s="572"/>
      <c r="I7" s="572"/>
      <c r="J7" s="572"/>
      <c r="K7" s="572"/>
      <c r="L7" s="572"/>
      <c r="M7" s="572"/>
      <c r="N7" s="572"/>
      <c r="O7" s="572"/>
      <c r="P7" s="572"/>
      <c r="Q7" s="572"/>
      <c r="R7" s="572"/>
      <c r="S7" s="2" t="b">
        <f>G7='Quadro Geral'!A35</f>
        <v>1</v>
      </c>
    </row>
    <row r="8" spans="1:19" ht="54" customHeight="1" x14ac:dyDescent="0.4">
      <c r="A8" s="571" t="s">
        <v>140</v>
      </c>
      <c r="B8" s="571"/>
      <c r="C8" s="571"/>
      <c r="D8" s="571"/>
      <c r="E8" s="571"/>
      <c r="F8" s="571"/>
      <c r="G8" s="572" t="s">
        <v>638</v>
      </c>
      <c r="H8" s="572"/>
      <c r="I8" s="572"/>
      <c r="J8" s="572"/>
      <c r="K8" s="572"/>
      <c r="L8" s="572"/>
      <c r="M8" s="572"/>
      <c r="N8" s="572"/>
      <c r="O8" s="572"/>
      <c r="P8" s="572"/>
      <c r="Q8" s="572"/>
      <c r="R8" s="572"/>
    </row>
    <row r="9" spans="1:19" ht="54" customHeight="1" x14ac:dyDescent="0.4">
      <c r="A9" s="571" t="s">
        <v>153</v>
      </c>
      <c r="B9" s="571"/>
      <c r="C9" s="571"/>
      <c r="D9" s="571"/>
      <c r="E9" s="571"/>
      <c r="F9" s="571"/>
      <c r="G9" s="572" t="s">
        <v>639</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411</v>
      </c>
      <c r="H10" s="572"/>
      <c r="I10" s="572"/>
      <c r="J10" s="572"/>
      <c r="K10" s="572"/>
      <c r="L10" s="572"/>
      <c r="M10" s="572"/>
      <c r="N10" s="572"/>
      <c r="O10" s="572"/>
      <c r="P10" s="572"/>
      <c r="Q10" s="572"/>
      <c r="R10" s="572"/>
      <c r="S10" s="2" t="b">
        <f>G10='Quadro Geral'!E35</f>
        <v>1</v>
      </c>
    </row>
    <row r="11" spans="1:19" ht="54" customHeight="1" x14ac:dyDescent="0.4">
      <c r="A11" s="571" t="s">
        <v>154</v>
      </c>
      <c r="B11" s="571"/>
      <c r="C11" s="571"/>
      <c r="D11" s="571"/>
      <c r="E11" s="571"/>
      <c r="F11" s="571"/>
      <c r="G11" s="572" t="s">
        <v>439</v>
      </c>
      <c r="H11" s="572"/>
      <c r="I11" s="572"/>
      <c r="J11" s="572"/>
      <c r="K11" s="572"/>
      <c r="L11" s="572"/>
      <c r="M11" s="572"/>
      <c r="N11" s="572"/>
      <c r="O11" s="572"/>
      <c r="P11" s="572"/>
      <c r="Q11" s="572"/>
      <c r="R11" s="572"/>
      <c r="S11" s="2" t="b">
        <f>G11='Quadro Geral'!F35</f>
        <v>1</v>
      </c>
    </row>
    <row r="12" spans="1:19" ht="54" customHeight="1" x14ac:dyDescent="0.4">
      <c r="A12" s="571" t="s">
        <v>142</v>
      </c>
      <c r="B12" s="571"/>
      <c r="C12" s="571"/>
      <c r="D12" s="571"/>
      <c r="E12" s="571"/>
      <c r="F12" s="571"/>
      <c r="G12" s="572" t="s">
        <v>68</v>
      </c>
      <c r="H12" s="572"/>
      <c r="I12" s="572"/>
      <c r="J12" s="572"/>
      <c r="K12" s="572"/>
      <c r="L12" s="572"/>
      <c r="M12" s="572"/>
      <c r="N12" s="572"/>
      <c r="O12" s="572"/>
      <c r="P12" s="572"/>
      <c r="Q12" s="572"/>
      <c r="R12" s="572"/>
      <c r="S12" s="2" t="b">
        <f>G12='Quadro Geral'!G35</f>
        <v>1</v>
      </c>
    </row>
    <row r="13" spans="1:19" ht="54" customHeight="1" x14ac:dyDescent="0.4">
      <c r="A13" s="383" t="s">
        <v>155</v>
      </c>
      <c r="B13" s="383"/>
      <c r="C13" s="383"/>
      <c r="D13" s="383"/>
      <c r="E13" s="383"/>
      <c r="F13" s="383"/>
      <c r="G13" s="573" t="s">
        <v>462</v>
      </c>
      <c r="H13" s="573"/>
      <c r="I13" s="573"/>
      <c r="J13" s="573"/>
      <c r="K13" s="573"/>
      <c r="L13" s="573"/>
      <c r="M13" s="573"/>
      <c r="N13" s="573"/>
      <c r="O13" s="573"/>
      <c r="P13" s="573"/>
      <c r="Q13" s="573"/>
      <c r="R13" s="573"/>
      <c r="S13" s="2" t="b">
        <f>G13='Quadro Geral'!H35</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84" t="s">
        <v>161</v>
      </c>
      <c r="E17" s="284" t="s">
        <v>162</v>
      </c>
      <c r="F17" s="575"/>
      <c r="G17" s="575"/>
      <c r="H17" s="575"/>
      <c r="I17" s="284" t="s">
        <v>217</v>
      </c>
      <c r="J17" s="284" t="s">
        <v>223</v>
      </c>
      <c r="K17" s="284" t="s">
        <v>224</v>
      </c>
      <c r="L17" s="575"/>
      <c r="M17" s="575"/>
      <c r="N17" s="579"/>
      <c r="O17" s="582"/>
      <c r="P17" s="584"/>
      <c r="Q17" s="584"/>
      <c r="R17" s="575"/>
      <c r="AN17" s="2" t="s">
        <v>165</v>
      </c>
    </row>
    <row r="18" spans="1:40" ht="78.75" x14ac:dyDescent="0.25">
      <c r="A18" s="136">
        <v>1</v>
      </c>
      <c r="B18" s="136" t="s">
        <v>641</v>
      </c>
      <c r="C18" s="122" t="s">
        <v>658</v>
      </c>
      <c r="D18" s="122" t="s">
        <v>659</v>
      </c>
      <c r="E18" s="122" t="s">
        <v>660</v>
      </c>
      <c r="F18" s="123">
        <v>43466</v>
      </c>
      <c r="G18" s="123">
        <v>43830</v>
      </c>
      <c r="H18" s="137">
        <v>1700000</v>
      </c>
      <c r="I18" s="137">
        <v>0</v>
      </c>
      <c r="J18" s="137">
        <v>2300000</v>
      </c>
      <c r="K18" s="220">
        <f>I18+J18</f>
        <v>2300000</v>
      </c>
      <c r="L18" s="138">
        <f>K18-H18</f>
        <v>600000</v>
      </c>
      <c r="M18" s="124">
        <f>IFERROR(L18/H18*100,0)</f>
        <v>35.294117647058826</v>
      </c>
      <c r="N18" s="124">
        <f>IFERROR(K18/$K$19*100,0)</f>
        <v>100</v>
      </c>
      <c r="O18" s="124" t="s">
        <v>237</v>
      </c>
      <c r="P18" s="167"/>
      <c r="Q18" s="171">
        <f>IFERROR(P18/K18*100,)</f>
        <v>0</v>
      </c>
      <c r="R18" s="122" t="s">
        <v>638</v>
      </c>
      <c r="AN18" s="2" t="s">
        <v>237</v>
      </c>
    </row>
    <row r="19" spans="1:40" s="3" customFormat="1" ht="24.75" customHeight="1" x14ac:dyDescent="0.4">
      <c r="A19" s="597" t="s">
        <v>3</v>
      </c>
      <c r="B19" s="598"/>
      <c r="C19" s="598"/>
      <c r="D19" s="598"/>
      <c r="E19" s="598"/>
      <c r="F19" s="598"/>
      <c r="G19" s="599"/>
      <c r="H19" s="139">
        <f>SUM(H18:H18)</f>
        <v>1700000</v>
      </c>
      <c r="I19" s="139">
        <f>SUM(I18:I18)</f>
        <v>0</v>
      </c>
      <c r="J19" s="139">
        <f>SUM(J18:J18)</f>
        <v>2300000</v>
      </c>
      <c r="K19" s="139">
        <f>SUM(K18:K18)</f>
        <v>2300000</v>
      </c>
      <c r="L19" s="169">
        <f t="shared" ref="L19" si="0">K19-H19</f>
        <v>600000</v>
      </c>
      <c r="M19" s="170">
        <f>IFERROR(L19/H19*100,0)</f>
        <v>35.294117647058826</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307">
        <f>'Quadro Geral'!M35</f>
        <v>0</v>
      </c>
      <c r="M20" s="307">
        <f>'Quadro Geral'!N35</f>
        <v>0</v>
      </c>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19:G19"/>
    <mergeCell ref="P15:Q15"/>
    <mergeCell ref="R15:R17"/>
    <mergeCell ref="C28:F28"/>
    <mergeCell ref="A15:A17"/>
    <mergeCell ref="B15:B17"/>
    <mergeCell ref="C15:E15"/>
    <mergeCell ref="F15:G15"/>
    <mergeCell ref="H15:K15"/>
    <mergeCell ref="C16:C17"/>
    <mergeCell ref="D16:E16"/>
    <mergeCell ref="F16:F17"/>
    <mergeCell ref="G16:G17"/>
    <mergeCell ref="H16:H17"/>
    <mergeCell ref="L15:M15"/>
    <mergeCell ref="N15:N17"/>
    <mergeCell ref="C29:F29"/>
    <mergeCell ref="A12:F12"/>
    <mergeCell ref="G12:R12"/>
    <mergeCell ref="A22:R22"/>
    <mergeCell ref="A23:R23"/>
    <mergeCell ref="A24:R24"/>
    <mergeCell ref="A25:F25"/>
    <mergeCell ref="C26:F26"/>
    <mergeCell ref="C27:F27"/>
    <mergeCell ref="I16:K16"/>
    <mergeCell ref="L16:L17"/>
    <mergeCell ref="M16:M17"/>
    <mergeCell ref="P16:P17"/>
    <mergeCell ref="A13:F13"/>
    <mergeCell ref="G13:R13"/>
    <mergeCell ref="A14:R14"/>
    <mergeCell ref="O15:O17"/>
    <mergeCell ref="A9:F9"/>
    <mergeCell ref="G9:R9"/>
    <mergeCell ref="A10:F10"/>
    <mergeCell ref="G10:R10"/>
    <mergeCell ref="A11:F11"/>
    <mergeCell ref="G11:R11"/>
    <mergeCell ref="Q16:Q17"/>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J21" sqref="J21"/>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368</v>
      </c>
      <c r="H7" s="572"/>
      <c r="I7" s="572"/>
      <c r="J7" s="572"/>
      <c r="K7" s="572"/>
      <c r="L7" s="572"/>
      <c r="M7" s="572"/>
      <c r="N7" s="572"/>
      <c r="O7" s="572"/>
      <c r="P7" s="572"/>
      <c r="Q7" s="572"/>
      <c r="R7" s="572"/>
      <c r="S7" s="2" t="b">
        <f>G7='Quadro Geral'!A29</f>
        <v>1</v>
      </c>
    </row>
    <row r="8" spans="1:19" ht="54" customHeight="1" x14ac:dyDescent="0.4">
      <c r="A8" s="571" t="s">
        <v>140</v>
      </c>
      <c r="B8" s="571"/>
      <c r="C8" s="571"/>
      <c r="D8" s="571"/>
      <c r="E8" s="571"/>
      <c r="F8" s="571"/>
      <c r="G8" s="572" t="s">
        <v>642</v>
      </c>
      <c r="H8" s="572"/>
      <c r="I8" s="572"/>
      <c r="J8" s="572"/>
      <c r="K8" s="572"/>
      <c r="L8" s="572"/>
      <c r="M8" s="572"/>
      <c r="N8" s="572"/>
      <c r="O8" s="572"/>
      <c r="P8" s="572"/>
      <c r="Q8" s="572"/>
      <c r="R8" s="572"/>
    </row>
    <row r="9" spans="1:19" ht="54" customHeight="1" x14ac:dyDescent="0.4">
      <c r="A9" s="571" t="s">
        <v>153</v>
      </c>
      <c r="B9" s="571"/>
      <c r="C9" s="571"/>
      <c r="D9" s="571"/>
      <c r="E9" s="571"/>
      <c r="F9" s="571"/>
      <c r="G9" s="572" t="s">
        <v>639</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406</v>
      </c>
      <c r="H10" s="572"/>
      <c r="I10" s="572"/>
      <c r="J10" s="572"/>
      <c r="K10" s="572"/>
      <c r="L10" s="572"/>
      <c r="M10" s="572"/>
      <c r="N10" s="572"/>
      <c r="O10" s="572"/>
      <c r="P10" s="572"/>
      <c r="Q10" s="572"/>
      <c r="R10" s="572"/>
      <c r="S10" s="2" t="b">
        <f>G10='Quadro Geral'!E29</f>
        <v>1</v>
      </c>
    </row>
    <row r="11" spans="1:19" ht="54" customHeight="1" x14ac:dyDescent="0.4">
      <c r="A11" s="571" t="s">
        <v>154</v>
      </c>
      <c r="B11" s="571"/>
      <c r="C11" s="571"/>
      <c r="D11" s="571"/>
      <c r="E11" s="571"/>
      <c r="F11" s="571"/>
      <c r="G11" s="572" t="s">
        <v>434</v>
      </c>
      <c r="H11" s="572"/>
      <c r="I11" s="572"/>
      <c r="J11" s="572"/>
      <c r="K11" s="572"/>
      <c r="L11" s="572"/>
      <c r="M11" s="572"/>
      <c r="N11" s="572"/>
      <c r="O11" s="572"/>
      <c r="P11" s="572"/>
      <c r="Q11" s="572"/>
      <c r="R11" s="572"/>
      <c r="S11" s="2" t="b">
        <f>G11='Quadro Geral'!F29</f>
        <v>1</v>
      </c>
    </row>
    <row r="12" spans="1:19" ht="54" customHeight="1" x14ac:dyDescent="0.4">
      <c r="A12" s="571" t="s">
        <v>142</v>
      </c>
      <c r="B12" s="571"/>
      <c r="C12" s="571"/>
      <c r="D12" s="571"/>
      <c r="E12" s="571"/>
      <c r="F12" s="571"/>
      <c r="G12" s="572" t="s">
        <v>68</v>
      </c>
      <c r="H12" s="572"/>
      <c r="I12" s="572"/>
      <c r="J12" s="572"/>
      <c r="K12" s="572"/>
      <c r="L12" s="572"/>
      <c r="M12" s="572"/>
      <c r="N12" s="572"/>
      <c r="O12" s="572"/>
      <c r="P12" s="572"/>
      <c r="Q12" s="572"/>
      <c r="R12" s="572"/>
      <c r="S12" s="2" t="b">
        <f>G12='Quadro Geral'!G29</f>
        <v>1</v>
      </c>
    </row>
    <row r="13" spans="1:19" ht="54" customHeight="1" x14ac:dyDescent="0.4">
      <c r="A13" s="383" t="s">
        <v>155</v>
      </c>
      <c r="B13" s="383"/>
      <c r="C13" s="383"/>
      <c r="D13" s="383"/>
      <c r="E13" s="383"/>
      <c r="F13" s="383"/>
      <c r="G13" s="573" t="s">
        <v>462</v>
      </c>
      <c r="H13" s="573"/>
      <c r="I13" s="573"/>
      <c r="J13" s="573"/>
      <c r="K13" s="573"/>
      <c r="L13" s="573"/>
      <c r="M13" s="573"/>
      <c r="N13" s="573"/>
      <c r="O13" s="573"/>
      <c r="P13" s="573"/>
      <c r="Q13" s="573"/>
      <c r="R13" s="573"/>
      <c r="S13" s="2" t="b">
        <f>G13='Quadro Geral'!H29</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284" t="s">
        <v>161</v>
      </c>
      <c r="E17" s="284" t="s">
        <v>162</v>
      </c>
      <c r="F17" s="575"/>
      <c r="G17" s="575"/>
      <c r="H17" s="575"/>
      <c r="I17" s="284" t="s">
        <v>217</v>
      </c>
      <c r="J17" s="284" t="s">
        <v>223</v>
      </c>
      <c r="K17" s="284" t="s">
        <v>224</v>
      </c>
      <c r="L17" s="575"/>
      <c r="M17" s="575"/>
      <c r="N17" s="579"/>
      <c r="O17" s="582"/>
      <c r="P17" s="584"/>
      <c r="Q17" s="584"/>
      <c r="R17" s="575"/>
      <c r="AN17" s="2" t="s">
        <v>165</v>
      </c>
    </row>
    <row r="18" spans="1:40" ht="55.5" customHeight="1" x14ac:dyDescent="0.25">
      <c r="A18" s="136">
        <v>1</v>
      </c>
      <c r="B18" s="136" t="s">
        <v>641</v>
      </c>
      <c r="C18" s="293" t="s">
        <v>661</v>
      </c>
      <c r="D18" s="294" t="s">
        <v>662</v>
      </c>
      <c r="E18" s="293" t="s">
        <v>663</v>
      </c>
      <c r="F18" s="295">
        <v>43466</v>
      </c>
      <c r="G18" s="295">
        <v>43830</v>
      </c>
      <c r="H18" s="137">
        <v>500000</v>
      </c>
      <c r="I18" s="137">
        <v>0</v>
      </c>
      <c r="J18" s="137">
        <v>200000</v>
      </c>
      <c r="K18" s="220">
        <f>I18+J18</f>
        <v>200000</v>
      </c>
      <c r="L18" s="138">
        <f>K18-H18</f>
        <v>-300000</v>
      </c>
      <c r="M18" s="124">
        <f>IFERROR(L18/H18*100,0)</f>
        <v>-60</v>
      </c>
      <c r="N18" s="124">
        <f>IFERROR(K18/$K$19*100,0)</f>
        <v>100</v>
      </c>
      <c r="O18" s="124" t="s">
        <v>237</v>
      </c>
      <c r="P18" s="167"/>
      <c r="Q18" s="171">
        <f>IFERROR(P18/K18*100,)</f>
        <v>0</v>
      </c>
      <c r="R18" s="122" t="s">
        <v>642</v>
      </c>
      <c r="AN18" s="2" t="s">
        <v>237</v>
      </c>
    </row>
    <row r="19" spans="1:40" s="3" customFormat="1" ht="24.75" customHeight="1" x14ac:dyDescent="0.4">
      <c r="A19" s="597" t="s">
        <v>3</v>
      </c>
      <c r="B19" s="598"/>
      <c r="C19" s="598"/>
      <c r="D19" s="598"/>
      <c r="E19" s="598"/>
      <c r="F19" s="598"/>
      <c r="G19" s="599"/>
      <c r="H19" s="139">
        <f>SUM(H18:H18)</f>
        <v>500000</v>
      </c>
      <c r="I19" s="139">
        <f>SUM(I18:I18)</f>
        <v>0</v>
      </c>
      <c r="J19" s="139">
        <f>SUM(J18:J18)</f>
        <v>200000</v>
      </c>
      <c r="K19" s="139">
        <f>SUM(K18:K18)</f>
        <v>200000</v>
      </c>
      <c r="L19" s="169">
        <f t="shared" ref="L19" si="0">K19-H19</f>
        <v>-300000</v>
      </c>
      <c r="M19" s="170">
        <f>IFERROR(L19/H19*100,0)</f>
        <v>-60</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307">
        <f>'Quadro Geral'!M29</f>
        <v>0</v>
      </c>
      <c r="M20" s="300"/>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19:G19"/>
    <mergeCell ref="P15:Q15"/>
    <mergeCell ref="R15:R17"/>
    <mergeCell ref="C28:F28"/>
    <mergeCell ref="A15:A17"/>
    <mergeCell ref="B15:B17"/>
    <mergeCell ref="C15:E15"/>
    <mergeCell ref="F15:G15"/>
    <mergeCell ref="H15:K15"/>
    <mergeCell ref="C16:C17"/>
    <mergeCell ref="D16:E16"/>
    <mergeCell ref="F16:F17"/>
    <mergeCell ref="G16:G17"/>
    <mergeCell ref="H16:H17"/>
    <mergeCell ref="L15:M15"/>
    <mergeCell ref="N15:N17"/>
    <mergeCell ref="C29:F29"/>
    <mergeCell ref="A12:F12"/>
    <mergeCell ref="G12:R12"/>
    <mergeCell ref="A22:R22"/>
    <mergeCell ref="A23:R23"/>
    <mergeCell ref="A24:R24"/>
    <mergeCell ref="A25:F25"/>
    <mergeCell ref="C26:F26"/>
    <mergeCell ref="C27:F27"/>
    <mergeCell ref="I16:K16"/>
    <mergeCell ref="L16:L17"/>
    <mergeCell ref="M16:M17"/>
    <mergeCell ref="P16:P17"/>
    <mergeCell ref="A13:F13"/>
    <mergeCell ref="G13:R13"/>
    <mergeCell ref="A14:R14"/>
    <mergeCell ref="O15:O17"/>
    <mergeCell ref="A9:F9"/>
    <mergeCell ref="G9:R9"/>
    <mergeCell ref="A10:F10"/>
    <mergeCell ref="G10:R10"/>
    <mergeCell ref="A11:F11"/>
    <mergeCell ref="G11:R11"/>
    <mergeCell ref="Q16:Q17"/>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J18" sqref="J18"/>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9" ht="39" customHeight="1" x14ac:dyDescent="0.4"/>
    <row r="6" spans="1:19" ht="31.5" customHeight="1" x14ac:dyDescent="0.25">
      <c r="A6" s="570" t="s">
        <v>228</v>
      </c>
      <c r="B6" s="570"/>
      <c r="C6" s="570"/>
      <c r="D6" s="570"/>
      <c r="E6" s="570"/>
      <c r="F6" s="570"/>
      <c r="G6" s="570"/>
      <c r="H6" s="570"/>
      <c r="I6" s="570"/>
      <c r="J6" s="570"/>
      <c r="K6" s="570"/>
      <c r="L6" s="570"/>
      <c r="M6" s="570"/>
      <c r="N6" s="570"/>
      <c r="O6" s="570"/>
      <c r="P6" s="570"/>
      <c r="Q6" s="570"/>
      <c r="R6" s="570"/>
    </row>
    <row r="7" spans="1:19" ht="54" customHeight="1" x14ac:dyDescent="0.4">
      <c r="A7" s="571" t="s">
        <v>134</v>
      </c>
      <c r="B7" s="571"/>
      <c r="C7" s="571"/>
      <c r="D7" s="571"/>
      <c r="E7" s="571"/>
      <c r="F7" s="571"/>
      <c r="G7" s="572" t="s">
        <v>379</v>
      </c>
      <c r="H7" s="572"/>
      <c r="I7" s="572"/>
      <c r="J7" s="572"/>
      <c r="K7" s="572"/>
      <c r="L7" s="572"/>
      <c r="M7" s="572"/>
      <c r="N7" s="572"/>
      <c r="O7" s="572"/>
      <c r="P7" s="572"/>
      <c r="Q7" s="572"/>
      <c r="R7" s="572"/>
      <c r="S7" s="2" t="b">
        <f>G7='Quadro Geral'!A34</f>
        <v>1</v>
      </c>
    </row>
    <row r="8" spans="1:19" ht="54" customHeight="1" x14ac:dyDescent="0.4">
      <c r="A8" s="571" t="s">
        <v>140</v>
      </c>
      <c r="B8" s="571"/>
      <c r="C8" s="571"/>
      <c r="D8" s="571"/>
      <c r="E8" s="571"/>
      <c r="F8" s="571"/>
      <c r="G8" s="572" t="s">
        <v>642</v>
      </c>
      <c r="H8" s="572"/>
      <c r="I8" s="572"/>
      <c r="J8" s="572"/>
      <c r="K8" s="572"/>
      <c r="L8" s="572"/>
      <c r="M8" s="572"/>
      <c r="N8" s="572"/>
      <c r="O8" s="572"/>
      <c r="P8" s="572"/>
      <c r="Q8" s="572"/>
      <c r="R8" s="572"/>
    </row>
    <row r="9" spans="1:19" ht="54" customHeight="1" x14ac:dyDescent="0.4">
      <c r="A9" s="571" t="s">
        <v>153</v>
      </c>
      <c r="B9" s="571"/>
      <c r="C9" s="571"/>
      <c r="D9" s="571"/>
      <c r="E9" s="571"/>
      <c r="F9" s="571"/>
      <c r="G9" s="572" t="s">
        <v>643</v>
      </c>
      <c r="H9" s="572"/>
      <c r="I9" s="572"/>
      <c r="J9" s="572"/>
      <c r="K9" s="572"/>
      <c r="L9" s="572"/>
      <c r="M9" s="572"/>
      <c r="N9" s="572"/>
      <c r="O9" s="572"/>
      <c r="P9" s="572"/>
      <c r="Q9" s="572"/>
      <c r="R9" s="572"/>
    </row>
    <row r="10" spans="1:19" ht="54" customHeight="1" x14ac:dyDescent="0.4">
      <c r="A10" s="571" t="s">
        <v>141</v>
      </c>
      <c r="B10" s="571"/>
      <c r="C10" s="571"/>
      <c r="D10" s="571"/>
      <c r="E10" s="571"/>
      <c r="F10" s="571"/>
      <c r="G10" s="572" t="s">
        <v>762</v>
      </c>
      <c r="H10" s="572"/>
      <c r="I10" s="572"/>
      <c r="J10" s="572"/>
      <c r="K10" s="572"/>
      <c r="L10" s="572"/>
      <c r="M10" s="572"/>
      <c r="N10" s="572"/>
      <c r="O10" s="572"/>
      <c r="P10" s="572"/>
      <c r="Q10" s="572"/>
      <c r="R10" s="572"/>
      <c r="S10" s="2" t="b">
        <f>G10='Quadro Geral'!E34</f>
        <v>1</v>
      </c>
    </row>
    <row r="11" spans="1:19" ht="54" customHeight="1" x14ac:dyDescent="0.4">
      <c r="A11" s="571" t="s">
        <v>154</v>
      </c>
      <c r="B11" s="571"/>
      <c r="C11" s="571"/>
      <c r="D11" s="571"/>
      <c r="E11" s="571"/>
      <c r="F11" s="571"/>
      <c r="G11" s="572" t="s">
        <v>763</v>
      </c>
      <c r="H11" s="572"/>
      <c r="I11" s="572"/>
      <c r="J11" s="572"/>
      <c r="K11" s="572"/>
      <c r="L11" s="572"/>
      <c r="M11" s="572"/>
      <c r="N11" s="572"/>
      <c r="O11" s="572"/>
      <c r="P11" s="572"/>
      <c r="Q11" s="572"/>
      <c r="R11" s="572"/>
      <c r="S11" s="2" t="b">
        <f>G11='Quadro Geral'!F34</f>
        <v>1</v>
      </c>
    </row>
    <row r="12" spans="1:19" ht="54" customHeight="1" x14ac:dyDescent="0.4">
      <c r="A12" s="571" t="s">
        <v>142</v>
      </c>
      <c r="B12" s="571"/>
      <c r="C12" s="571"/>
      <c r="D12" s="571"/>
      <c r="E12" s="571"/>
      <c r="F12" s="571"/>
      <c r="G12" s="572" t="s">
        <v>64</v>
      </c>
      <c r="H12" s="572"/>
      <c r="I12" s="572"/>
      <c r="J12" s="572"/>
      <c r="K12" s="572"/>
      <c r="L12" s="572"/>
      <c r="M12" s="572"/>
      <c r="N12" s="572"/>
      <c r="O12" s="572"/>
      <c r="P12" s="572"/>
      <c r="Q12" s="572"/>
      <c r="R12" s="572"/>
      <c r="S12" s="2" t="b">
        <f>G12='Quadro Geral'!G34</f>
        <v>1</v>
      </c>
    </row>
    <row r="13" spans="1:19" ht="54" customHeight="1" x14ac:dyDescent="0.4">
      <c r="A13" s="383" t="s">
        <v>155</v>
      </c>
      <c r="B13" s="383"/>
      <c r="C13" s="383"/>
      <c r="D13" s="383"/>
      <c r="E13" s="383"/>
      <c r="F13" s="383"/>
      <c r="G13" s="573" t="s">
        <v>764</v>
      </c>
      <c r="H13" s="573"/>
      <c r="I13" s="573"/>
      <c r="J13" s="573"/>
      <c r="K13" s="573"/>
      <c r="L13" s="573"/>
      <c r="M13" s="573"/>
      <c r="N13" s="573"/>
      <c r="O13" s="573"/>
      <c r="P13" s="573"/>
      <c r="Q13" s="573"/>
      <c r="R13" s="573"/>
      <c r="S13" s="2" t="b">
        <f>G13='Quadro Geral'!H34</f>
        <v>1</v>
      </c>
    </row>
    <row r="14" spans="1:19"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9"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9"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357" t="s">
        <v>161</v>
      </c>
      <c r="E17" s="357" t="s">
        <v>162</v>
      </c>
      <c r="F17" s="575"/>
      <c r="G17" s="575"/>
      <c r="H17" s="575"/>
      <c r="I17" s="357" t="s">
        <v>217</v>
      </c>
      <c r="J17" s="357" t="s">
        <v>223</v>
      </c>
      <c r="K17" s="357" t="s">
        <v>224</v>
      </c>
      <c r="L17" s="575"/>
      <c r="M17" s="575"/>
      <c r="N17" s="579"/>
      <c r="O17" s="582"/>
      <c r="P17" s="584"/>
      <c r="Q17" s="584"/>
      <c r="R17" s="575"/>
      <c r="AN17" s="2" t="s">
        <v>165</v>
      </c>
    </row>
    <row r="18" spans="1:40" ht="78.75" customHeight="1" x14ac:dyDescent="0.25">
      <c r="A18" s="136">
        <v>1</v>
      </c>
      <c r="B18" s="136" t="s">
        <v>641</v>
      </c>
      <c r="C18" s="293" t="s">
        <v>765</v>
      </c>
      <c r="D18" s="294" t="s">
        <v>766</v>
      </c>
      <c r="E18" s="293" t="s">
        <v>767</v>
      </c>
      <c r="F18" s="295">
        <v>43617</v>
      </c>
      <c r="G18" s="295">
        <v>43830</v>
      </c>
      <c r="H18" s="137">
        <v>0</v>
      </c>
      <c r="I18" s="137">
        <v>0</v>
      </c>
      <c r="J18" s="137">
        <f>60000-0.82</f>
        <v>59999.18</v>
      </c>
      <c r="K18" s="220">
        <f>I18+J18</f>
        <v>59999.18</v>
      </c>
      <c r="L18" s="138">
        <f>K18-H18</f>
        <v>59999.18</v>
      </c>
      <c r="M18" s="124">
        <f>IFERROR(L18/H18*100,0)</f>
        <v>0</v>
      </c>
      <c r="N18" s="124">
        <f>IFERROR(K18/$K$19*100,0)</f>
        <v>100</v>
      </c>
      <c r="O18" s="124" t="s">
        <v>237</v>
      </c>
      <c r="P18" s="167"/>
      <c r="Q18" s="171">
        <f>IFERROR(P18/K18*100,)</f>
        <v>0</v>
      </c>
      <c r="R18" s="122" t="s">
        <v>642</v>
      </c>
      <c r="AN18" s="2" t="s">
        <v>237</v>
      </c>
    </row>
    <row r="19" spans="1:40" s="3" customFormat="1" ht="24.75" customHeight="1" x14ac:dyDescent="0.4">
      <c r="A19" s="597" t="s">
        <v>3</v>
      </c>
      <c r="B19" s="598"/>
      <c r="C19" s="598"/>
      <c r="D19" s="598"/>
      <c r="E19" s="598"/>
      <c r="F19" s="598"/>
      <c r="G19" s="599"/>
      <c r="H19" s="139">
        <f>SUM(H18:H18)</f>
        <v>0</v>
      </c>
      <c r="I19" s="139">
        <f>SUM(I18:I18)</f>
        <v>0</v>
      </c>
      <c r="J19" s="139">
        <f>SUM(J18:J18)</f>
        <v>59999.18</v>
      </c>
      <c r="K19" s="139">
        <f>SUM(K18:K18)</f>
        <v>59999.18</v>
      </c>
      <c r="L19" s="169">
        <f t="shared" ref="L19" si="0">K19-H19</f>
        <v>59999.18</v>
      </c>
      <c r="M19" s="170">
        <f>IFERROR(L19/H19*100,0)</f>
        <v>0</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307">
        <f>'Quadro Geral'!M29</f>
        <v>0</v>
      </c>
      <c r="M20" s="300"/>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9:F9"/>
    <mergeCell ref="G9:R9"/>
    <mergeCell ref="A6:R6"/>
    <mergeCell ref="A7:F7"/>
    <mergeCell ref="G7:R7"/>
    <mergeCell ref="A8:F8"/>
    <mergeCell ref="G8:R8"/>
    <mergeCell ref="A10:F10"/>
    <mergeCell ref="G10:R10"/>
    <mergeCell ref="A11:F11"/>
    <mergeCell ref="G11:R11"/>
    <mergeCell ref="A12:F12"/>
    <mergeCell ref="G12:R12"/>
    <mergeCell ref="L16:L17"/>
    <mergeCell ref="A13:F13"/>
    <mergeCell ref="G13:R13"/>
    <mergeCell ref="A14:R14"/>
    <mergeCell ref="A15:A17"/>
    <mergeCell ref="B15:B17"/>
    <mergeCell ref="C15:E15"/>
    <mergeCell ref="F15:G15"/>
    <mergeCell ref="H15:K15"/>
    <mergeCell ref="L15:M15"/>
    <mergeCell ref="N15:N17"/>
    <mergeCell ref="C29:F29"/>
    <mergeCell ref="M16:M17"/>
    <mergeCell ref="P16:P17"/>
    <mergeCell ref="Q16:Q17"/>
    <mergeCell ref="A19:G19"/>
    <mergeCell ref="A22:R22"/>
    <mergeCell ref="A23:R23"/>
    <mergeCell ref="O15:O17"/>
    <mergeCell ref="P15:Q15"/>
    <mergeCell ref="R15:R17"/>
    <mergeCell ref="C16:C17"/>
    <mergeCell ref="D16:E16"/>
    <mergeCell ref="F16:F17"/>
    <mergeCell ref="G16:G17"/>
    <mergeCell ref="H16:H17"/>
    <mergeCell ref="I16:K16"/>
    <mergeCell ref="A24:R24"/>
    <mergeCell ref="A25:F25"/>
    <mergeCell ref="C26:F26"/>
    <mergeCell ref="C27:F27"/>
    <mergeCell ref="C28:F2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S13" sqref="S13"/>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8" ht="39" customHeight="1" x14ac:dyDescent="0.4"/>
    <row r="6" spans="1:18" ht="31.5" customHeight="1" x14ac:dyDescent="0.25">
      <c r="A6" s="570" t="s">
        <v>228</v>
      </c>
      <c r="B6" s="570"/>
      <c r="C6" s="570"/>
      <c r="D6" s="570"/>
      <c r="E6" s="570"/>
      <c r="F6" s="570"/>
      <c r="G6" s="570"/>
      <c r="H6" s="570"/>
      <c r="I6" s="570"/>
      <c r="J6" s="570"/>
      <c r="K6" s="570"/>
      <c r="L6" s="570"/>
      <c r="M6" s="570"/>
      <c r="N6" s="570"/>
      <c r="O6" s="570"/>
      <c r="P6" s="570"/>
      <c r="Q6" s="570"/>
      <c r="R6" s="570"/>
    </row>
    <row r="7" spans="1:18" ht="54" customHeight="1" x14ac:dyDescent="0.4">
      <c r="A7" s="571" t="s">
        <v>134</v>
      </c>
      <c r="B7" s="571"/>
      <c r="C7" s="571"/>
      <c r="D7" s="571"/>
      <c r="E7" s="571"/>
      <c r="F7" s="571"/>
      <c r="G7" s="572" t="s">
        <v>772</v>
      </c>
      <c r="H7" s="572"/>
      <c r="I7" s="572"/>
      <c r="J7" s="572"/>
      <c r="K7" s="572"/>
      <c r="L7" s="572"/>
      <c r="M7" s="572"/>
      <c r="N7" s="572"/>
      <c r="O7" s="572"/>
      <c r="P7" s="572"/>
      <c r="Q7" s="572"/>
      <c r="R7" s="572"/>
    </row>
    <row r="8" spans="1:18" ht="54" customHeight="1" x14ac:dyDescent="0.4">
      <c r="A8" s="571" t="s">
        <v>140</v>
      </c>
      <c r="B8" s="571"/>
      <c r="C8" s="571"/>
      <c r="D8" s="571"/>
      <c r="E8" s="571"/>
      <c r="F8" s="571"/>
      <c r="G8" s="572" t="s">
        <v>646</v>
      </c>
      <c r="H8" s="572"/>
      <c r="I8" s="572"/>
      <c r="J8" s="572"/>
      <c r="K8" s="572"/>
      <c r="L8" s="572"/>
      <c r="M8" s="572"/>
      <c r="N8" s="572"/>
      <c r="O8" s="572"/>
      <c r="P8" s="572"/>
      <c r="Q8" s="572"/>
      <c r="R8" s="572"/>
    </row>
    <row r="9" spans="1:18" ht="54" customHeight="1" x14ac:dyDescent="0.4">
      <c r="A9" s="571" t="s">
        <v>153</v>
      </c>
      <c r="B9" s="571"/>
      <c r="C9" s="571"/>
      <c r="D9" s="571"/>
      <c r="E9" s="571"/>
      <c r="F9" s="571"/>
      <c r="G9" s="572" t="s">
        <v>643</v>
      </c>
      <c r="H9" s="572"/>
      <c r="I9" s="572"/>
      <c r="J9" s="572"/>
      <c r="K9" s="572"/>
      <c r="L9" s="572"/>
      <c r="M9" s="572"/>
      <c r="N9" s="572"/>
      <c r="O9" s="572"/>
      <c r="P9" s="572"/>
      <c r="Q9" s="572"/>
      <c r="R9" s="572"/>
    </row>
    <row r="10" spans="1:18" ht="54" customHeight="1" x14ac:dyDescent="0.4">
      <c r="A10" s="571" t="s">
        <v>141</v>
      </c>
      <c r="B10" s="571"/>
      <c r="C10" s="571"/>
      <c r="D10" s="571"/>
      <c r="E10" s="571"/>
      <c r="F10" s="571"/>
      <c r="G10" s="572" t="s">
        <v>769</v>
      </c>
      <c r="H10" s="572"/>
      <c r="I10" s="572"/>
      <c r="J10" s="572"/>
      <c r="K10" s="572"/>
      <c r="L10" s="572"/>
      <c r="M10" s="572"/>
      <c r="N10" s="572"/>
      <c r="O10" s="572"/>
      <c r="P10" s="572"/>
      <c r="Q10" s="572"/>
      <c r="R10" s="572"/>
    </row>
    <row r="11" spans="1:18" ht="54" customHeight="1" x14ac:dyDescent="0.4">
      <c r="A11" s="571" t="s">
        <v>154</v>
      </c>
      <c r="B11" s="571"/>
      <c r="C11" s="571"/>
      <c r="D11" s="571"/>
      <c r="E11" s="571"/>
      <c r="F11" s="571"/>
      <c r="G11" s="572" t="s">
        <v>436</v>
      </c>
      <c r="H11" s="572"/>
      <c r="I11" s="572"/>
      <c r="J11" s="572"/>
      <c r="K11" s="572"/>
      <c r="L11" s="572"/>
      <c r="M11" s="572"/>
      <c r="N11" s="572"/>
      <c r="O11" s="572"/>
      <c r="P11" s="572"/>
      <c r="Q11" s="572"/>
      <c r="R11" s="572"/>
    </row>
    <row r="12" spans="1:18" ht="54" customHeight="1" x14ac:dyDescent="0.4">
      <c r="A12" s="571" t="s">
        <v>142</v>
      </c>
      <c r="B12" s="571"/>
      <c r="C12" s="571"/>
      <c r="D12" s="571"/>
      <c r="E12" s="571"/>
      <c r="F12" s="571"/>
      <c r="G12" s="572" t="s">
        <v>53</v>
      </c>
      <c r="H12" s="572"/>
      <c r="I12" s="572"/>
      <c r="J12" s="572"/>
      <c r="K12" s="572"/>
      <c r="L12" s="572"/>
      <c r="M12" s="572"/>
      <c r="N12" s="572"/>
      <c r="O12" s="572"/>
      <c r="P12" s="572"/>
      <c r="Q12" s="572"/>
      <c r="R12" s="572"/>
    </row>
    <row r="13" spans="1:18" ht="54" customHeight="1" x14ac:dyDescent="0.4">
      <c r="A13" s="383" t="s">
        <v>155</v>
      </c>
      <c r="B13" s="383"/>
      <c r="C13" s="383"/>
      <c r="D13" s="383"/>
      <c r="E13" s="383"/>
      <c r="F13" s="383"/>
      <c r="G13" s="573" t="s">
        <v>464</v>
      </c>
      <c r="H13" s="573"/>
      <c r="I13" s="573"/>
      <c r="J13" s="573"/>
      <c r="K13" s="573"/>
      <c r="L13" s="573"/>
      <c r="M13" s="573"/>
      <c r="N13" s="573"/>
      <c r="O13" s="573"/>
      <c r="P13" s="573"/>
      <c r="Q13" s="573"/>
      <c r="R13" s="573"/>
    </row>
    <row r="14" spans="1:18"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8"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8"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366" t="s">
        <v>161</v>
      </c>
      <c r="E17" s="366" t="s">
        <v>162</v>
      </c>
      <c r="F17" s="575"/>
      <c r="G17" s="575"/>
      <c r="H17" s="575"/>
      <c r="I17" s="366" t="s">
        <v>217</v>
      </c>
      <c r="J17" s="366" t="s">
        <v>223</v>
      </c>
      <c r="K17" s="366" t="s">
        <v>224</v>
      </c>
      <c r="L17" s="575"/>
      <c r="M17" s="575"/>
      <c r="N17" s="579"/>
      <c r="O17" s="582"/>
      <c r="P17" s="584"/>
      <c r="Q17" s="584"/>
      <c r="R17" s="575"/>
      <c r="AN17" s="2" t="s">
        <v>165</v>
      </c>
    </row>
    <row r="18" spans="1:40" ht="78.75" customHeight="1" x14ac:dyDescent="0.25">
      <c r="A18" s="136">
        <v>1</v>
      </c>
      <c r="B18" s="136" t="s">
        <v>641</v>
      </c>
      <c r="C18" s="122" t="s">
        <v>769</v>
      </c>
      <c r="D18" s="122" t="s">
        <v>655</v>
      </c>
      <c r="E18" s="122" t="s">
        <v>770</v>
      </c>
      <c r="F18" s="295">
        <v>43617</v>
      </c>
      <c r="G18" s="295">
        <v>43830</v>
      </c>
      <c r="H18" s="137">
        <v>177697</v>
      </c>
      <c r="I18" s="137">
        <v>71513.75</v>
      </c>
      <c r="J18" s="137">
        <v>106183.3</v>
      </c>
      <c r="K18" s="220">
        <f>I18+J18</f>
        <v>177697.05</v>
      </c>
      <c r="L18" s="138">
        <f>K18-H18</f>
        <v>4.9999999988358468E-2</v>
      </c>
      <c r="M18" s="124">
        <f>IFERROR(L18/H18*100,0)</f>
        <v>2.8137785099556247E-5</v>
      </c>
      <c r="N18" s="124">
        <f>IFERROR(K18/$K$19*100,0)</f>
        <v>100</v>
      </c>
      <c r="O18" s="124" t="s">
        <v>165</v>
      </c>
      <c r="P18" s="167"/>
      <c r="Q18" s="171">
        <f>IFERROR(P18/K18*100,)</f>
        <v>0</v>
      </c>
      <c r="R18" s="122" t="s">
        <v>771</v>
      </c>
      <c r="AN18" s="2" t="s">
        <v>237</v>
      </c>
    </row>
    <row r="19" spans="1:40" s="3" customFormat="1" ht="24.75" customHeight="1" x14ac:dyDescent="0.4">
      <c r="A19" s="597" t="s">
        <v>3</v>
      </c>
      <c r="B19" s="598"/>
      <c r="C19" s="598"/>
      <c r="D19" s="598"/>
      <c r="E19" s="598"/>
      <c r="F19" s="598"/>
      <c r="G19" s="599"/>
      <c r="H19" s="139">
        <f>SUM(H18:H18)</f>
        <v>177697</v>
      </c>
      <c r="I19" s="139">
        <f>SUM(I18:I18)</f>
        <v>71513.75</v>
      </c>
      <c r="J19" s="139">
        <f>SUM(J18:J18)</f>
        <v>106183.3</v>
      </c>
      <c r="K19" s="139">
        <f>SUM(K18:K18)</f>
        <v>177697.05</v>
      </c>
      <c r="L19" s="169">
        <f t="shared" ref="L19" si="0">K19-H19</f>
        <v>4.9999999988358468E-2</v>
      </c>
      <c r="M19" s="170">
        <f>IFERROR(L19/H19*100,0)</f>
        <v>2.8137785099556247E-5</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307">
        <f>'Quadro Geral'!M29</f>
        <v>0</v>
      </c>
      <c r="M20" s="300"/>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24:R24"/>
    <mergeCell ref="A25:F25"/>
    <mergeCell ref="C26:F26"/>
    <mergeCell ref="C27:F27"/>
    <mergeCell ref="C28:F28"/>
    <mergeCell ref="C29:F29"/>
    <mergeCell ref="M16:M17"/>
    <mergeCell ref="P16:P17"/>
    <mergeCell ref="Q16:Q17"/>
    <mergeCell ref="A19:G19"/>
    <mergeCell ref="A22:R22"/>
    <mergeCell ref="A23:R23"/>
    <mergeCell ref="O15:O17"/>
    <mergeCell ref="P15:Q15"/>
    <mergeCell ref="R15:R17"/>
    <mergeCell ref="C16:C17"/>
    <mergeCell ref="D16:E16"/>
    <mergeCell ref="F16:F17"/>
    <mergeCell ref="G16:G17"/>
    <mergeCell ref="H16:H17"/>
    <mergeCell ref="I16:K16"/>
    <mergeCell ref="L16:L17"/>
    <mergeCell ref="A13:F13"/>
    <mergeCell ref="G13:R13"/>
    <mergeCell ref="A14:R14"/>
    <mergeCell ref="A15:A17"/>
    <mergeCell ref="B15:B17"/>
    <mergeCell ref="C15:E15"/>
    <mergeCell ref="F15:G15"/>
    <mergeCell ref="H15:K15"/>
    <mergeCell ref="L15:M15"/>
    <mergeCell ref="N15:N17"/>
    <mergeCell ref="A10:F10"/>
    <mergeCell ref="G10:R10"/>
    <mergeCell ref="A11:F11"/>
    <mergeCell ref="G11:R11"/>
    <mergeCell ref="A12:F12"/>
    <mergeCell ref="G12:R12"/>
    <mergeCell ref="A9:F9"/>
    <mergeCell ref="G9:R9"/>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2EDEC"/>
  </sheetPr>
  <dimension ref="A5:AN30"/>
  <sheetViews>
    <sheetView showGridLines="0" zoomScale="40" zoomScaleNormal="40" zoomScaleSheetLayoutView="80" workbookViewId="0">
      <selection activeCell="S13" sqref="S13"/>
    </sheetView>
  </sheetViews>
  <sheetFormatPr defaultColWidth="9.140625" defaultRowHeight="26.25" x14ac:dyDescent="0.4"/>
  <cols>
    <col min="1" max="2" width="13" style="77" customWidth="1"/>
    <col min="3" max="3" width="42.28515625" style="77" customWidth="1"/>
    <col min="4" max="4" width="56.5703125" style="77" customWidth="1"/>
    <col min="5" max="5" width="63.42578125" style="77" customWidth="1"/>
    <col min="6" max="7" width="29.42578125" style="77" customWidth="1"/>
    <col min="8" max="10" width="32.28515625" style="77" customWidth="1"/>
    <col min="11" max="11" width="30" style="77" customWidth="1"/>
    <col min="12" max="12" width="25.28515625" style="77" customWidth="1"/>
    <col min="13" max="13" width="25" style="77" customWidth="1"/>
    <col min="14" max="14" width="20" style="77" customWidth="1"/>
    <col min="15" max="15" width="29.7109375" style="77" customWidth="1"/>
    <col min="16" max="16" width="32.28515625" style="78" customWidth="1"/>
    <col min="17" max="17" width="25.85546875" style="78" customWidth="1"/>
    <col min="18" max="18" width="36" style="78" customWidth="1"/>
    <col min="19" max="19" width="15.5703125" style="2" bestFit="1" customWidth="1"/>
    <col min="20" max="24" width="9.140625" style="2"/>
    <col min="25" max="25" width="14" style="2" bestFit="1" customWidth="1"/>
    <col min="26" max="39" width="9.140625" style="2"/>
    <col min="40" max="40" width="10.140625" style="2" hidden="1" customWidth="1"/>
    <col min="41" max="41" width="22.42578125" style="2" customWidth="1"/>
    <col min="42" max="16384" width="9.140625" style="2"/>
  </cols>
  <sheetData>
    <row r="5" spans="1:18" ht="39" customHeight="1" x14ac:dyDescent="0.4"/>
    <row r="6" spans="1:18" ht="31.5" customHeight="1" x14ac:dyDescent="0.25">
      <c r="A6" s="570" t="s">
        <v>228</v>
      </c>
      <c r="B6" s="570"/>
      <c r="C6" s="570"/>
      <c r="D6" s="570"/>
      <c r="E6" s="570"/>
      <c r="F6" s="570"/>
      <c r="G6" s="570"/>
      <c r="H6" s="570"/>
      <c r="I6" s="570"/>
      <c r="J6" s="570"/>
      <c r="K6" s="570"/>
      <c r="L6" s="570"/>
      <c r="M6" s="570"/>
      <c r="N6" s="570"/>
      <c r="O6" s="570"/>
      <c r="P6" s="570"/>
      <c r="Q6" s="570"/>
      <c r="R6" s="570"/>
    </row>
    <row r="7" spans="1:18" ht="54" customHeight="1" x14ac:dyDescent="0.4">
      <c r="A7" s="571" t="s">
        <v>134</v>
      </c>
      <c r="B7" s="571"/>
      <c r="C7" s="571"/>
      <c r="D7" s="571"/>
      <c r="E7" s="571"/>
      <c r="F7" s="571"/>
      <c r="G7" s="572" t="s">
        <v>772</v>
      </c>
      <c r="H7" s="572"/>
      <c r="I7" s="572"/>
      <c r="J7" s="572"/>
      <c r="K7" s="572"/>
      <c r="L7" s="572"/>
      <c r="M7" s="572"/>
      <c r="N7" s="572"/>
      <c r="O7" s="572"/>
      <c r="P7" s="572"/>
      <c r="Q7" s="572"/>
      <c r="R7" s="572"/>
    </row>
    <row r="8" spans="1:18" ht="54" customHeight="1" x14ac:dyDescent="0.4">
      <c r="A8" s="571" t="s">
        <v>140</v>
      </c>
      <c r="B8" s="571"/>
      <c r="C8" s="571"/>
      <c r="D8" s="571"/>
      <c r="E8" s="571"/>
      <c r="F8" s="571"/>
      <c r="G8" s="572" t="s">
        <v>646</v>
      </c>
      <c r="H8" s="572"/>
      <c r="I8" s="572"/>
      <c r="J8" s="572"/>
      <c r="K8" s="572"/>
      <c r="L8" s="572"/>
      <c r="M8" s="572"/>
      <c r="N8" s="572"/>
      <c r="O8" s="572"/>
      <c r="P8" s="572"/>
      <c r="Q8" s="572"/>
      <c r="R8" s="572"/>
    </row>
    <row r="9" spans="1:18" ht="54" customHeight="1" x14ac:dyDescent="0.4">
      <c r="A9" s="571" t="s">
        <v>153</v>
      </c>
      <c r="B9" s="571"/>
      <c r="C9" s="571"/>
      <c r="D9" s="571"/>
      <c r="E9" s="571"/>
      <c r="F9" s="571"/>
      <c r="G9" s="572" t="s">
        <v>643</v>
      </c>
      <c r="H9" s="572"/>
      <c r="I9" s="572"/>
      <c r="J9" s="572"/>
      <c r="K9" s="572"/>
      <c r="L9" s="572"/>
      <c r="M9" s="572"/>
      <c r="N9" s="572"/>
      <c r="O9" s="572"/>
      <c r="P9" s="572"/>
      <c r="Q9" s="572"/>
      <c r="R9" s="572"/>
    </row>
    <row r="10" spans="1:18" ht="54" customHeight="1" x14ac:dyDescent="0.4">
      <c r="A10" s="571" t="s">
        <v>141</v>
      </c>
      <c r="B10" s="571"/>
      <c r="C10" s="571"/>
      <c r="D10" s="571"/>
      <c r="E10" s="571"/>
      <c r="F10" s="571"/>
      <c r="G10" s="572" t="s">
        <v>773</v>
      </c>
      <c r="H10" s="572"/>
      <c r="I10" s="572"/>
      <c r="J10" s="572"/>
      <c r="K10" s="572"/>
      <c r="L10" s="572"/>
      <c r="M10" s="572"/>
      <c r="N10" s="572"/>
      <c r="O10" s="572"/>
      <c r="P10" s="572"/>
      <c r="Q10" s="572"/>
      <c r="R10" s="572"/>
    </row>
    <row r="11" spans="1:18" ht="54" customHeight="1" x14ac:dyDescent="0.4">
      <c r="A11" s="571" t="s">
        <v>154</v>
      </c>
      <c r="B11" s="571"/>
      <c r="C11" s="571"/>
      <c r="D11" s="571"/>
      <c r="E11" s="571"/>
      <c r="F11" s="571"/>
      <c r="G11" s="572" t="s">
        <v>437</v>
      </c>
      <c r="H11" s="572"/>
      <c r="I11" s="572"/>
      <c r="J11" s="572"/>
      <c r="K11" s="572"/>
      <c r="L11" s="572"/>
      <c r="M11" s="572"/>
      <c r="N11" s="572"/>
      <c r="O11" s="572"/>
      <c r="P11" s="572"/>
      <c r="Q11" s="572"/>
      <c r="R11" s="572"/>
    </row>
    <row r="12" spans="1:18" ht="54" customHeight="1" x14ac:dyDescent="0.4">
      <c r="A12" s="571" t="s">
        <v>142</v>
      </c>
      <c r="B12" s="571"/>
      <c r="C12" s="571"/>
      <c r="D12" s="571"/>
      <c r="E12" s="571"/>
      <c r="F12" s="571"/>
      <c r="G12" s="572" t="s">
        <v>71</v>
      </c>
      <c r="H12" s="572"/>
      <c r="I12" s="572"/>
      <c r="J12" s="572"/>
      <c r="K12" s="572"/>
      <c r="L12" s="572"/>
      <c r="M12" s="572"/>
      <c r="N12" s="572"/>
      <c r="O12" s="572"/>
      <c r="P12" s="572"/>
      <c r="Q12" s="572"/>
      <c r="R12" s="572"/>
    </row>
    <row r="13" spans="1:18" ht="54" customHeight="1" x14ac:dyDescent="0.4">
      <c r="A13" s="383" t="s">
        <v>155</v>
      </c>
      <c r="B13" s="383"/>
      <c r="C13" s="383"/>
      <c r="D13" s="383"/>
      <c r="E13" s="383"/>
      <c r="F13" s="383"/>
      <c r="G13" s="573" t="s">
        <v>465</v>
      </c>
      <c r="H13" s="573"/>
      <c r="I13" s="573"/>
      <c r="J13" s="573"/>
      <c r="K13" s="573"/>
      <c r="L13" s="573"/>
      <c r="M13" s="573"/>
      <c r="N13" s="573"/>
      <c r="O13" s="573"/>
      <c r="P13" s="573"/>
      <c r="Q13" s="573"/>
      <c r="R13" s="573"/>
    </row>
    <row r="14" spans="1:18" s="54" customFormat="1" ht="24" customHeight="1" x14ac:dyDescent="0.25">
      <c r="A14" s="574"/>
      <c r="B14" s="574"/>
      <c r="C14" s="574"/>
      <c r="D14" s="574"/>
      <c r="E14" s="574"/>
      <c r="F14" s="574"/>
      <c r="G14" s="574"/>
      <c r="H14" s="574"/>
      <c r="I14" s="574"/>
      <c r="J14" s="574"/>
      <c r="K14" s="574"/>
      <c r="L14" s="574"/>
      <c r="M14" s="574"/>
      <c r="N14" s="574"/>
      <c r="O14" s="574"/>
      <c r="P14" s="574"/>
      <c r="Q14" s="574"/>
      <c r="R14" s="574"/>
    </row>
    <row r="15" spans="1:18" ht="54.75" customHeight="1" x14ac:dyDescent="0.25">
      <c r="A15" s="575" t="s">
        <v>156</v>
      </c>
      <c r="B15" s="575" t="s">
        <v>196</v>
      </c>
      <c r="C15" s="576" t="s">
        <v>157</v>
      </c>
      <c r="D15" s="578"/>
      <c r="E15" s="578"/>
      <c r="F15" s="576" t="s">
        <v>5</v>
      </c>
      <c r="G15" s="577"/>
      <c r="H15" s="575" t="s">
        <v>158</v>
      </c>
      <c r="I15" s="575"/>
      <c r="J15" s="575"/>
      <c r="K15" s="575"/>
      <c r="L15" s="575" t="s">
        <v>11</v>
      </c>
      <c r="M15" s="575"/>
      <c r="N15" s="579" t="s">
        <v>159</v>
      </c>
      <c r="O15" s="580" t="s">
        <v>236</v>
      </c>
      <c r="P15" s="576" t="s">
        <v>147</v>
      </c>
      <c r="Q15" s="577"/>
      <c r="R15" s="575" t="s">
        <v>8</v>
      </c>
    </row>
    <row r="16" spans="1:18" ht="48.75" customHeight="1" x14ac:dyDescent="0.25">
      <c r="A16" s="575"/>
      <c r="B16" s="575"/>
      <c r="C16" s="575" t="s">
        <v>4</v>
      </c>
      <c r="D16" s="576" t="s">
        <v>160</v>
      </c>
      <c r="E16" s="577"/>
      <c r="F16" s="575" t="s">
        <v>6</v>
      </c>
      <c r="G16" s="575" t="s">
        <v>7</v>
      </c>
      <c r="H16" s="575" t="s">
        <v>225</v>
      </c>
      <c r="I16" s="576" t="s">
        <v>205</v>
      </c>
      <c r="J16" s="578"/>
      <c r="K16" s="577"/>
      <c r="L16" s="575" t="s">
        <v>226</v>
      </c>
      <c r="M16" s="575" t="s">
        <v>227</v>
      </c>
      <c r="N16" s="579"/>
      <c r="O16" s="581"/>
      <c r="P16" s="583" t="s">
        <v>89</v>
      </c>
      <c r="Q16" s="583" t="s">
        <v>148</v>
      </c>
      <c r="R16" s="575"/>
    </row>
    <row r="17" spans="1:40" ht="110.25" customHeight="1" x14ac:dyDescent="0.25">
      <c r="A17" s="575"/>
      <c r="B17" s="575"/>
      <c r="C17" s="575"/>
      <c r="D17" s="366" t="s">
        <v>161</v>
      </c>
      <c r="E17" s="366" t="s">
        <v>162</v>
      </c>
      <c r="F17" s="575"/>
      <c r="G17" s="575"/>
      <c r="H17" s="575"/>
      <c r="I17" s="366" t="s">
        <v>217</v>
      </c>
      <c r="J17" s="366" t="s">
        <v>223</v>
      </c>
      <c r="K17" s="366" t="s">
        <v>224</v>
      </c>
      <c r="L17" s="575"/>
      <c r="M17" s="575"/>
      <c r="N17" s="579"/>
      <c r="O17" s="582"/>
      <c r="P17" s="584"/>
      <c r="Q17" s="584"/>
      <c r="R17" s="575"/>
      <c r="AN17" s="2" t="s">
        <v>165</v>
      </c>
    </row>
    <row r="18" spans="1:40" ht="78.75" customHeight="1" x14ac:dyDescent="0.25">
      <c r="A18" s="136">
        <v>1</v>
      </c>
      <c r="B18" s="136" t="s">
        <v>641</v>
      </c>
      <c r="C18" s="122" t="s">
        <v>409</v>
      </c>
      <c r="D18" s="122" t="s">
        <v>655</v>
      </c>
      <c r="E18" s="122" t="s">
        <v>774</v>
      </c>
      <c r="F18" s="295">
        <v>43617</v>
      </c>
      <c r="G18" s="295">
        <v>43830</v>
      </c>
      <c r="H18" s="137">
        <v>32844</v>
      </c>
      <c r="I18" s="137">
        <v>16211.65</v>
      </c>
      <c r="J18" s="137">
        <v>16632.3</v>
      </c>
      <c r="K18" s="220">
        <f>I18+J18</f>
        <v>32843.949999999997</v>
      </c>
      <c r="L18" s="138">
        <f>K18-H18</f>
        <v>-5.0000000002910383E-2</v>
      </c>
      <c r="M18" s="124">
        <f>IFERROR(L18/H18*100,0)</f>
        <v>-1.52234806975126E-4</v>
      </c>
      <c r="N18" s="124">
        <f>IFERROR(K18/$K$19*100,0)</f>
        <v>100</v>
      </c>
      <c r="O18" s="124" t="s">
        <v>165</v>
      </c>
      <c r="P18" s="167"/>
      <c r="Q18" s="171">
        <f>IFERROR(P18/K18*100,)</f>
        <v>0</v>
      </c>
      <c r="R18" s="122" t="s">
        <v>771</v>
      </c>
      <c r="AN18" s="2" t="s">
        <v>237</v>
      </c>
    </row>
    <row r="19" spans="1:40" s="3" customFormat="1" ht="24.75" customHeight="1" x14ac:dyDescent="0.4">
      <c r="A19" s="597" t="s">
        <v>3</v>
      </c>
      <c r="B19" s="598"/>
      <c r="C19" s="598"/>
      <c r="D19" s="598"/>
      <c r="E19" s="598"/>
      <c r="F19" s="598"/>
      <c r="G19" s="599"/>
      <c r="H19" s="139">
        <f>SUM(H18:H18)</f>
        <v>32844</v>
      </c>
      <c r="I19" s="139">
        <f>SUM(I18:I18)</f>
        <v>16211.65</v>
      </c>
      <c r="J19" s="139">
        <f>SUM(J18:J18)</f>
        <v>16632.3</v>
      </c>
      <c r="K19" s="139">
        <f>SUM(K18:K18)</f>
        <v>32843.949999999997</v>
      </c>
      <c r="L19" s="169">
        <f t="shared" ref="L19" si="0">K19-H19</f>
        <v>-5.0000000002910383E-2</v>
      </c>
      <c r="M19" s="170">
        <f>IFERROR(L19/H19*100,0)</f>
        <v>-1.52234806975126E-4</v>
      </c>
      <c r="N19" s="170">
        <f>SUM(N18:N18)</f>
        <v>100</v>
      </c>
      <c r="O19" s="170"/>
      <c r="P19" s="168">
        <f>SUM(P18:P18)</f>
        <v>0</v>
      </c>
      <c r="Q19" s="140">
        <f>IFERROR(P19/K19*100,)</f>
        <v>0</v>
      </c>
      <c r="R19" s="140"/>
    </row>
    <row r="20" spans="1:40" s="3" customFormat="1" ht="24.75" customHeight="1" x14ac:dyDescent="0.4">
      <c r="A20" s="298"/>
      <c r="B20" s="298"/>
      <c r="C20" s="298"/>
      <c r="D20" s="298"/>
      <c r="E20" s="298"/>
      <c r="F20" s="298"/>
      <c r="G20" s="298"/>
      <c r="H20" s="307"/>
      <c r="I20" s="307"/>
      <c r="J20" s="307"/>
      <c r="K20" s="307"/>
      <c r="L20" s="307">
        <f>'Quadro Geral'!M29</f>
        <v>0</v>
      </c>
      <c r="M20" s="300"/>
      <c r="N20" s="300"/>
      <c r="O20" s="300"/>
      <c r="P20" s="301"/>
      <c r="Q20" s="302"/>
      <c r="R20" s="302"/>
    </row>
    <row r="21" spans="1:40" s="3" customFormat="1" ht="24.75" customHeight="1" x14ac:dyDescent="0.4">
      <c r="A21" s="298"/>
      <c r="B21" s="298"/>
      <c r="C21" s="298"/>
      <c r="D21" s="298"/>
      <c r="E21" s="298"/>
      <c r="F21" s="298"/>
      <c r="G21" s="298"/>
      <c r="H21" s="307"/>
      <c r="I21" s="307"/>
      <c r="J21" s="307"/>
      <c r="K21" s="307"/>
      <c r="L21" s="299"/>
      <c r="M21" s="300"/>
      <c r="N21" s="300"/>
      <c r="O21" s="300"/>
      <c r="P21" s="301"/>
      <c r="Q21" s="302"/>
      <c r="R21" s="302"/>
    </row>
    <row r="22" spans="1:40" x14ac:dyDescent="0.4">
      <c r="A22" s="589" t="s">
        <v>116</v>
      </c>
      <c r="B22" s="589"/>
      <c r="C22" s="589"/>
      <c r="D22" s="589"/>
      <c r="E22" s="589"/>
      <c r="F22" s="589"/>
      <c r="G22" s="589"/>
      <c r="H22" s="589"/>
      <c r="I22" s="589"/>
      <c r="J22" s="589"/>
      <c r="K22" s="589"/>
      <c r="L22" s="589"/>
      <c r="M22" s="589"/>
      <c r="N22" s="589"/>
      <c r="O22" s="589"/>
      <c r="P22" s="589"/>
      <c r="Q22" s="589"/>
      <c r="R22" s="589"/>
    </row>
    <row r="23" spans="1:40" ht="36" customHeight="1" x14ac:dyDescent="0.25">
      <c r="A23" s="590" t="s">
        <v>179</v>
      </c>
      <c r="B23" s="591"/>
      <c r="C23" s="591"/>
      <c r="D23" s="591"/>
      <c r="E23" s="591"/>
      <c r="F23" s="591"/>
      <c r="G23" s="591"/>
      <c r="H23" s="591"/>
      <c r="I23" s="591"/>
      <c r="J23" s="591"/>
      <c r="K23" s="591"/>
      <c r="L23" s="591"/>
      <c r="M23" s="591"/>
      <c r="N23" s="591"/>
      <c r="O23" s="591"/>
      <c r="P23" s="591"/>
      <c r="Q23" s="591"/>
      <c r="R23" s="592"/>
    </row>
    <row r="24" spans="1:40" ht="95.25" customHeight="1" x14ac:dyDescent="0.4">
      <c r="A24" s="593"/>
      <c r="B24" s="594"/>
      <c r="C24" s="594"/>
      <c r="D24" s="594"/>
      <c r="E24" s="594"/>
      <c r="F24" s="594"/>
      <c r="G24" s="594"/>
      <c r="H24" s="594"/>
      <c r="I24" s="594"/>
      <c r="J24" s="594"/>
      <c r="K24" s="594"/>
      <c r="L24" s="594"/>
      <c r="M24" s="594"/>
      <c r="N24" s="594"/>
      <c r="O24" s="594"/>
      <c r="P24" s="594"/>
      <c r="Q24" s="594"/>
      <c r="R24" s="595"/>
    </row>
    <row r="25" spans="1:40" ht="15" hidden="1" customHeight="1" x14ac:dyDescent="0.4">
      <c r="A25" s="596" t="s">
        <v>12</v>
      </c>
      <c r="B25" s="596"/>
      <c r="C25" s="596"/>
      <c r="D25" s="596"/>
      <c r="E25" s="596"/>
      <c r="F25" s="596"/>
      <c r="G25" s="141"/>
      <c r="H25" s="141"/>
      <c r="I25" s="141"/>
      <c r="J25" s="141"/>
      <c r="K25" s="141"/>
      <c r="L25" s="141"/>
      <c r="M25" s="141"/>
      <c r="N25" s="141"/>
      <c r="O25" s="141"/>
      <c r="P25" s="141"/>
      <c r="Q25" s="141"/>
      <c r="R25" s="141"/>
    </row>
    <row r="26" spans="1:40" ht="15" hidden="1" customHeight="1" x14ac:dyDescent="0.4">
      <c r="A26" s="142" t="s">
        <v>16</v>
      </c>
      <c r="B26" s="142"/>
      <c r="C26" s="588" t="s">
        <v>20</v>
      </c>
      <c r="D26" s="588"/>
      <c r="E26" s="588"/>
      <c r="F26" s="588"/>
      <c r="P26" s="77"/>
      <c r="Q26" s="77"/>
      <c r="R26" s="77"/>
    </row>
    <row r="27" spans="1:40" ht="15" hidden="1" customHeight="1" x14ac:dyDescent="0.4">
      <c r="A27" s="142" t="s">
        <v>17</v>
      </c>
      <c r="B27" s="142"/>
      <c r="C27" s="588" t="s">
        <v>13</v>
      </c>
      <c r="D27" s="588"/>
      <c r="E27" s="588"/>
      <c r="F27" s="588"/>
      <c r="P27" s="77"/>
      <c r="Q27" s="77"/>
      <c r="R27" s="77"/>
    </row>
    <row r="28" spans="1:40" ht="15" hidden="1" customHeight="1" x14ac:dyDescent="0.4">
      <c r="A28" s="142" t="s">
        <v>18</v>
      </c>
      <c r="B28" s="142"/>
      <c r="C28" s="588" t="s">
        <v>14</v>
      </c>
      <c r="D28" s="588"/>
      <c r="E28" s="588"/>
      <c r="F28" s="588"/>
      <c r="P28" s="77"/>
      <c r="Q28" s="77"/>
      <c r="R28" s="77"/>
    </row>
    <row r="29" spans="1:40" ht="15" hidden="1" customHeight="1" x14ac:dyDescent="0.4">
      <c r="A29" s="142" t="s">
        <v>19</v>
      </c>
      <c r="B29" s="142"/>
      <c r="C29" s="588" t="s">
        <v>15</v>
      </c>
      <c r="D29" s="588"/>
      <c r="E29" s="588"/>
      <c r="F29" s="588"/>
      <c r="P29" s="77"/>
      <c r="Q29" s="77"/>
      <c r="R29" s="77"/>
    </row>
    <row r="30" spans="1:40" ht="35.25" customHeight="1" x14ac:dyDescent="0.4"/>
  </sheetData>
  <sheetProtection formatCells="0" formatRows="0" insertRows="0" deleteRows="0"/>
  <mergeCells count="45">
    <mergeCell ref="A24:R24"/>
    <mergeCell ref="A25:F25"/>
    <mergeCell ref="C26:F26"/>
    <mergeCell ref="C27:F27"/>
    <mergeCell ref="C28:F28"/>
    <mergeCell ref="C29:F29"/>
    <mergeCell ref="M16:M17"/>
    <mergeCell ref="P16:P17"/>
    <mergeCell ref="Q16:Q17"/>
    <mergeCell ref="A19:G19"/>
    <mergeCell ref="A22:R22"/>
    <mergeCell ref="A23:R23"/>
    <mergeCell ref="O15:O17"/>
    <mergeCell ref="P15:Q15"/>
    <mergeCell ref="R15:R17"/>
    <mergeCell ref="C16:C17"/>
    <mergeCell ref="D16:E16"/>
    <mergeCell ref="F16:F17"/>
    <mergeCell ref="G16:G17"/>
    <mergeCell ref="H16:H17"/>
    <mergeCell ref="I16:K16"/>
    <mergeCell ref="L16:L17"/>
    <mergeCell ref="A13:F13"/>
    <mergeCell ref="G13:R13"/>
    <mergeCell ref="A14:R14"/>
    <mergeCell ref="A15:A17"/>
    <mergeCell ref="B15:B17"/>
    <mergeCell ref="C15:E15"/>
    <mergeCell ref="F15:G15"/>
    <mergeCell ref="H15:K15"/>
    <mergeCell ref="L15:M15"/>
    <mergeCell ref="N15:N17"/>
    <mergeCell ref="A10:F10"/>
    <mergeCell ref="G10:R10"/>
    <mergeCell ref="A11:F11"/>
    <mergeCell ref="G11:R11"/>
    <mergeCell ref="A12:F12"/>
    <mergeCell ref="G12:R12"/>
    <mergeCell ref="A9:F9"/>
    <mergeCell ref="G9:R9"/>
    <mergeCell ref="A6:R6"/>
    <mergeCell ref="A7:F7"/>
    <mergeCell ref="G7:R7"/>
    <mergeCell ref="A8:F8"/>
    <mergeCell ref="G8:R8"/>
  </mergeCells>
  <dataValidations count="1">
    <dataValidation type="list" allowBlank="1" showInputMessage="1" showErrorMessage="1" sqref="O18">
      <formula1>$AN$17:$AN$18</formula1>
    </dataValidation>
  </dataValidation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K109"/>
  <sheetViews>
    <sheetView showGridLines="0" view="pageBreakPreview" topLeftCell="A72" zoomScale="39" zoomScaleNormal="39" zoomScaleSheetLayoutView="39" workbookViewId="0">
      <selection activeCell="C102" sqref="C102"/>
    </sheetView>
  </sheetViews>
  <sheetFormatPr defaultRowHeight="26.25" x14ac:dyDescent="0.4"/>
  <cols>
    <col min="1" max="1" width="122.28515625" customWidth="1"/>
    <col min="2" max="2" width="115.7109375" style="28" customWidth="1"/>
    <col min="3" max="3" width="21.140625" customWidth="1"/>
    <col min="4" max="4" width="39.42578125" style="28" customWidth="1"/>
    <col min="5" max="6" width="34" customWidth="1"/>
    <col min="7" max="9" width="9.140625" style="263"/>
    <col min="11" max="11" width="27.42578125" customWidth="1"/>
  </cols>
  <sheetData>
    <row r="1" spans="1:10" ht="63" customHeight="1" x14ac:dyDescent="0.4">
      <c r="A1" s="261"/>
      <c r="B1" s="262"/>
      <c r="C1" s="262"/>
      <c r="D1" s="262"/>
      <c r="E1" s="261"/>
      <c r="F1" s="261"/>
    </row>
    <row r="2" spans="1:10" x14ac:dyDescent="0.4">
      <c r="A2" s="441" t="str">
        <f>'Matriz Objetivos x Projetos'!A7:W7</f>
        <v xml:space="preserve">CAU/UF:  </v>
      </c>
      <c r="B2" s="442"/>
      <c r="C2" s="442"/>
      <c r="D2" s="442"/>
      <c r="E2" s="442"/>
      <c r="F2" s="442"/>
    </row>
    <row r="3" spans="1:10" x14ac:dyDescent="0.4">
      <c r="A3" s="441" t="s">
        <v>74</v>
      </c>
      <c r="B3" s="442"/>
      <c r="C3" s="442"/>
      <c r="D3" s="442"/>
      <c r="E3" s="442"/>
      <c r="F3" s="442"/>
    </row>
    <row r="4" spans="1:10" x14ac:dyDescent="0.4">
      <c r="A4" s="125"/>
      <c r="B4" s="258"/>
      <c r="C4" s="126"/>
      <c r="D4" s="258"/>
      <c r="E4" s="263"/>
      <c r="F4" s="263"/>
    </row>
    <row r="5" spans="1:10" x14ac:dyDescent="0.4">
      <c r="A5" s="443" t="s">
        <v>124</v>
      </c>
      <c r="B5" s="444"/>
      <c r="C5" s="444"/>
      <c r="D5" s="444"/>
      <c r="E5" s="444"/>
      <c r="F5" s="444"/>
    </row>
    <row r="6" spans="1:10" x14ac:dyDescent="0.4">
      <c r="A6" s="144"/>
      <c r="B6" s="145"/>
      <c r="C6" s="145"/>
      <c r="D6" s="145"/>
      <c r="E6" s="263"/>
      <c r="F6" s="263"/>
    </row>
    <row r="7" spans="1:10" ht="52.5" x14ac:dyDescent="0.4">
      <c r="A7" s="253" t="s">
        <v>52</v>
      </c>
      <c r="B7" s="396" t="s">
        <v>121</v>
      </c>
      <c r="C7" s="411"/>
      <c r="D7" s="254" t="s">
        <v>122</v>
      </c>
      <c r="E7" s="254" t="s">
        <v>194</v>
      </c>
      <c r="F7" s="254" t="s">
        <v>195</v>
      </c>
    </row>
    <row r="8" spans="1:10" ht="87.75" hidden="1" customHeight="1" x14ac:dyDescent="0.4">
      <c r="A8" s="428" t="s">
        <v>238</v>
      </c>
      <c r="B8" s="232" t="s">
        <v>239</v>
      </c>
      <c r="C8" s="421" t="s">
        <v>240</v>
      </c>
      <c r="D8" s="408" t="s">
        <v>171</v>
      </c>
      <c r="E8" s="390"/>
      <c r="F8" s="390"/>
    </row>
    <row r="9" spans="1:10" ht="91.5" hidden="1" customHeight="1" x14ac:dyDescent="0.4">
      <c r="A9" s="428"/>
      <c r="B9" s="233" t="s">
        <v>241</v>
      </c>
      <c r="C9" s="422"/>
      <c r="D9" s="408"/>
      <c r="E9" s="391"/>
      <c r="F9" s="391"/>
    </row>
    <row r="10" spans="1:10" ht="147" hidden="1" customHeight="1" x14ac:dyDescent="0.4">
      <c r="A10" s="255" t="s">
        <v>242</v>
      </c>
      <c r="B10" s="259" t="s">
        <v>243</v>
      </c>
      <c r="C10" s="256" t="s">
        <v>240</v>
      </c>
      <c r="D10" s="252" t="s">
        <v>171</v>
      </c>
      <c r="E10" s="264"/>
      <c r="F10" s="265"/>
    </row>
    <row r="11" spans="1:10" ht="147" hidden="1" customHeight="1" x14ac:dyDescent="0.4">
      <c r="A11" s="234" t="s">
        <v>245</v>
      </c>
      <c r="B11" s="244" t="s">
        <v>246</v>
      </c>
      <c r="C11" s="240" t="s">
        <v>240</v>
      </c>
      <c r="D11" s="235" t="s">
        <v>171</v>
      </c>
      <c r="E11" s="264"/>
      <c r="F11" s="265"/>
    </row>
    <row r="12" spans="1:10" ht="78.75" hidden="1" x14ac:dyDescent="0.4">
      <c r="A12" s="234" t="s">
        <v>247</v>
      </c>
      <c r="B12" s="244" t="s">
        <v>248</v>
      </c>
      <c r="C12" s="240" t="s">
        <v>240</v>
      </c>
      <c r="D12" s="235" t="s">
        <v>171</v>
      </c>
      <c r="E12" s="264"/>
      <c r="F12" s="265"/>
    </row>
    <row r="13" spans="1:10" x14ac:dyDescent="0.4">
      <c r="A13" s="414" t="s">
        <v>123</v>
      </c>
      <c r="B13" s="415"/>
      <c r="C13" s="415"/>
      <c r="D13" s="415"/>
      <c r="E13" s="415"/>
      <c r="F13" s="416"/>
    </row>
    <row r="14" spans="1:10" ht="52.5" x14ac:dyDescent="0.4">
      <c r="A14" s="147" t="s">
        <v>53</v>
      </c>
      <c r="B14" s="394" t="s">
        <v>121</v>
      </c>
      <c r="C14" s="395"/>
      <c r="D14" s="143" t="s">
        <v>122</v>
      </c>
      <c r="E14" s="143" t="s">
        <v>194</v>
      </c>
      <c r="F14" s="143" t="s">
        <v>195</v>
      </c>
    </row>
    <row r="15" spans="1:10" x14ac:dyDescent="0.4">
      <c r="A15" s="419" t="s">
        <v>349</v>
      </c>
      <c r="B15" s="237" t="s">
        <v>350</v>
      </c>
      <c r="C15" s="421" t="s">
        <v>240</v>
      </c>
      <c r="D15" s="408" t="s">
        <v>172</v>
      </c>
      <c r="E15" s="407">
        <v>0.15</v>
      </c>
      <c r="F15" s="407">
        <v>0.15</v>
      </c>
      <c r="G15" s="451"/>
      <c r="H15" s="452"/>
      <c r="I15" s="452"/>
      <c r="J15" s="452"/>
    </row>
    <row r="16" spans="1:10" x14ac:dyDescent="0.25">
      <c r="A16" s="420"/>
      <c r="B16" s="233" t="s">
        <v>351</v>
      </c>
      <c r="C16" s="422"/>
      <c r="D16" s="408"/>
      <c r="E16" s="391"/>
      <c r="F16" s="391"/>
      <c r="G16" s="451"/>
      <c r="H16" s="452"/>
      <c r="I16" s="452"/>
      <c r="J16" s="452"/>
    </row>
    <row r="17" spans="1:10" ht="57" customHeight="1" x14ac:dyDescent="0.4">
      <c r="A17" s="422" t="s">
        <v>352</v>
      </c>
      <c r="B17" s="237" t="s">
        <v>353</v>
      </c>
      <c r="C17" s="421" t="s">
        <v>240</v>
      </c>
      <c r="D17" s="408" t="s">
        <v>172</v>
      </c>
      <c r="E17" s="404">
        <v>0.05</v>
      </c>
      <c r="F17" s="404">
        <v>0.05</v>
      </c>
      <c r="G17" s="451"/>
      <c r="H17" s="452"/>
      <c r="I17" s="452"/>
      <c r="J17" s="452"/>
    </row>
    <row r="18" spans="1:10" ht="53.25" customHeight="1" x14ac:dyDescent="0.25">
      <c r="A18" s="418"/>
      <c r="B18" s="233" t="s">
        <v>354</v>
      </c>
      <c r="C18" s="422"/>
      <c r="D18" s="408"/>
      <c r="E18" s="401"/>
      <c r="F18" s="401"/>
      <c r="G18" s="451"/>
      <c r="H18" s="452"/>
      <c r="I18" s="452"/>
      <c r="J18" s="452"/>
    </row>
    <row r="19" spans="1:10" x14ac:dyDescent="0.4">
      <c r="A19" s="418" t="s">
        <v>355</v>
      </c>
      <c r="B19" s="237" t="s">
        <v>356</v>
      </c>
      <c r="C19" s="421"/>
      <c r="D19" s="408" t="s">
        <v>357</v>
      </c>
      <c r="E19" s="407">
        <v>0.04</v>
      </c>
      <c r="F19" s="407">
        <v>0.04</v>
      </c>
    </row>
    <row r="20" spans="1:10" ht="97.5" customHeight="1" x14ac:dyDescent="0.25">
      <c r="A20" s="418"/>
      <c r="B20" s="233" t="s">
        <v>358</v>
      </c>
      <c r="C20" s="422"/>
      <c r="D20" s="408"/>
      <c r="E20" s="391"/>
      <c r="F20" s="391"/>
      <c r="G20" s="451"/>
      <c r="H20" s="452"/>
      <c r="I20" s="452"/>
      <c r="J20" s="452"/>
    </row>
    <row r="21" spans="1:10" hidden="1" x14ac:dyDescent="0.4">
      <c r="A21" s="418" t="s">
        <v>359</v>
      </c>
      <c r="B21" s="237" t="s">
        <v>360</v>
      </c>
      <c r="C21" s="421" t="s">
        <v>251</v>
      </c>
      <c r="D21" s="408" t="s">
        <v>357</v>
      </c>
      <c r="E21" s="400"/>
      <c r="F21" s="400"/>
      <c r="G21" s="451"/>
      <c r="H21" s="452"/>
      <c r="I21" s="452"/>
      <c r="J21" s="452"/>
    </row>
    <row r="22" spans="1:10" ht="70.5" hidden="1" customHeight="1" x14ac:dyDescent="0.4">
      <c r="A22" s="418"/>
      <c r="B22" s="233" t="s">
        <v>361</v>
      </c>
      <c r="C22" s="422"/>
      <c r="D22" s="408"/>
      <c r="E22" s="401"/>
      <c r="F22" s="401"/>
    </row>
    <row r="23" spans="1:10" ht="93.75" customHeight="1" x14ac:dyDescent="0.4">
      <c r="A23" s="418" t="s">
        <v>249</v>
      </c>
      <c r="B23" s="237" t="s">
        <v>250</v>
      </c>
      <c r="C23" s="421" t="s">
        <v>251</v>
      </c>
      <c r="D23" s="408" t="s">
        <v>252</v>
      </c>
      <c r="E23" s="407">
        <v>0.8</v>
      </c>
      <c r="F23" s="407">
        <v>0.8</v>
      </c>
      <c r="G23" s="451"/>
      <c r="H23" s="452"/>
      <c r="I23" s="452"/>
      <c r="J23" s="452"/>
    </row>
    <row r="24" spans="1:10" ht="57" customHeight="1" x14ac:dyDescent="0.25">
      <c r="A24" s="418"/>
      <c r="B24" s="233" t="s">
        <v>253</v>
      </c>
      <c r="C24" s="422"/>
      <c r="D24" s="408"/>
      <c r="E24" s="391"/>
      <c r="F24" s="391"/>
      <c r="G24" s="451"/>
      <c r="H24" s="452"/>
      <c r="I24" s="452"/>
      <c r="J24" s="452"/>
    </row>
    <row r="25" spans="1:10" hidden="1" x14ac:dyDescent="0.4">
      <c r="A25" s="408" t="s">
        <v>254</v>
      </c>
      <c r="B25" s="237" t="s">
        <v>255</v>
      </c>
      <c r="C25" s="418" t="s">
        <v>240</v>
      </c>
      <c r="D25" s="408" t="s">
        <v>252</v>
      </c>
      <c r="E25" s="390"/>
      <c r="F25" s="390"/>
    </row>
    <row r="26" spans="1:10" hidden="1" x14ac:dyDescent="0.4">
      <c r="A26" s="408"/>
      <c r="B26" s="246" t="s">
        <v>256</v>
      </c>
      <c r="C26" s="418"/>
      <c r="D26" s="408"/>
      <c r="E26" s="391"/>
      <c r="F26" s="391"/>
    </row>
    <row r="27" spans="1:10" ht="78.75" hidden="1" x14ac:dyDescent="0.4">
      <c r="A27" s="305" t="s">
        <v>257</v>
      </c>
      <c r="B27" s="243" t="s">
        <v>258</v>
      </c>
      <c r="C27" s="320" t="s">
        <v>240</v>
      </c>
      <c r="D27" s="303" t="s">
        <v>172</v>
      </c>
      <c r="E27" s="321"/>
      <c r="F27" s="322"/>
    </row>
    <row r="28" spans="1:10" ht="78.75" hidden="1" x14ac:dyDescent="0.4">
      <c r="A28" s="305" t="s">
        <v>259</v>
      </c>
      <c r="B28" s="243" t="s">
        <v>362</v>
      </c>
      <c r="C28" s="320" t="s">
        <v>240</v>
      </c>
      <c r="D28" s="303" t="s">
        <v>172</v>
      </c>
      <c r="E28" s="321"/>
      <c r="F28" s="321"/>
    </row>
    <row r="29" spans="1:10" ht="78.75" hidden="1" x14ac:dyDescent="0.4">
      <c r="A29" s="305" t="s">
        <v>260</v>
      </c>
      <c r="B29" s="243" t="s">
        <v>261</v>
      </c>
      <c r="C29" s="320" t="s">
        <v>240</v>
      </c>
      <c r="D29" s="303" t="s">
        <v>172</v>
      </c>
      <c r="E29" s="321"/>
      <c r="F29" s="323"/>
    </row>
    <row r="30" spans="1:10" ht="52.5" x14ac:dyDescent="0.4">
      <c r="A30" s="147" t="s">
        <v>54</v>
      </c>
      <c r="B30" s="423" t="s">
        <v>121</v>
      </c>
      <c r="C30" s="424"/>
      <c r="D30" s="143" t="s">
        <v>122</v>
      </c>
      <c r="E30" s="143" t="s">
        <v>194</v>
      </c>
      <c r="F30" s="143" t="s">
        <v>195</v>
      </c>
    </row>
    <row r="31" spans="1:10" x14ac:dyDescent="0.4">
      <c r="A31" s="417" t="s">
        <v>262</v>
      </c>
      <c r="B31" s="238" t="s">
        <v>263</v>
      </c>
      <c r="C31" s="425" t="s">
        <v>240</v>
      </c>
      <c r="D31" s="417" t="s">
        <v>172</v>
      </c>
      <c r="E31" s="407">
        <v>0.8</v>
      </c>
      <c r="F31" s="407">
        <v>0.8</v>
      </c>
      <c r="G31" s="445"/>
      <c r="H31" s="446"/>
      <c r="I31" s="446"/>
      <c r="J31" s="446"/>
    </row>
    <row r="32" spans="1:10" x14ac:dyDescent="0.25">
      <c r="A32" s="417"/>
      <c r="B32" s="239" t="s">
        <v>264</v>
      </c>
      <c r="C32" s="426"/>
      <c r="D32" s="417"/>
      <c r="E32" s="391"/>
      <c r="F32" s="391"/>
      <c r="G32" s="445"/>
      <c r="H32" s="446"/>
      <c r="I32" s="446"/>
      <c r="J32" s="446"/>
    </row>
    <row r="33" spans="1:11" x14ac:dyDescent="0.4">
      <c r="A33" s="417" t="s">
        <v>265</v>
      </c>
      <c r="B33" s="238" t="s">
        <v>266</v>
      </c>
      <c r="C33" s="425" t="s">
        <v>240</v>
      </c>
      <c r="D33" s="417" t="s">
        <v>172</v>
      </c>
      <c r="E33" s="407">
        <v>0.7</v>
      </c>
      <c r="F33" s="407">
        <v>0.7</v>
      </c>
      <c r="G33" s="445"/>
      <c r="H33" s="446"/>
      <c r="I33" s="446"/>
      <c r="J33" s="446"/>
    </row>
    <row r="34" spans="1:11" x14ac:dyDescent="0.25">
      <c r="A34" s="417"/>
      <c r="B34" s="239" t="s">
        <v>267</v>
      </c>
      <c r="C34" s="426"/>
      <c r="D34" s="417"/>
      <c r="E34" s="391"/>
      <c r="F34" s="391"/>
      <c r="G34" s="445"/>
      <c r="H34" s="446"/>
      <c r="I34" s="446"/>
      <c r="J34" s="446"/>
    </row>
    <row r="35" spans="1:11" ht="52.5" x14ac:dyDescent="0.4">
      <c r="A35" s="147" t="s">
        <v>55</v>
      </c>
      <c r="B35" s="423" t="s">
        <v>121</v>
      </c>
      <c r="C35" s="424"/>
      <c r="D35" s="143" t="s">
        <v>122</v>
      </c>
      <c r="E35" s="143" t="s">
        <v>194</v>
      </c>
      <c r="F35" s="143" t="s">
        <v>195</v>
      </c>
    </row>
    <row r="36" spans="1:11" x14ac:dyDescent="0.4">
      <c r="A36" s="417" t="s">
        <v>268</v>
      </c>
      <c r="B36" s="238" t="s">
        <v>269</v>
      </c>
      <c r="C36" s="425" t="s">
        <v>240</v>
      </c>
      <c r="D36" s="408" t="s">
        <v>171</v>
      </c>
      <c r="E36" s="413">
        <v>8.9999999999999993E-3</v>
      </c>
      <c r="F36" s="405">
        <v>8.0000000000000002E-3</v>
      </c>
      <c r="G36" s="445"/>
      <c r="H36" s="446"/>
      <c r="I36" s="446"/>
      <c r="J36" s="446"/>
    </row>
    <row r="37" spans="1:11" x14ac:dyDescent="0.4">
      <c r="A37" s="417"/>
      <c r="B37" s="257" t="s">
        <v>270</v>
      </c>
      <c r="C37" s="432"/>
      <c r="D37" s="408"/>
      <c r="E37" s="391"/>
      <c r="F37" s="401"/>
      <c r="G37" s="445"/>
      <c r="H37" s="446"/>
      <c r="I37" s="446"/>
      <c r="J37" s="446"/>
      <c r="K37" s="353"/>
    </row>
    <row r="38" spans="1:11" x14ac:dyDescent="0.4">
      <c r="A38" s="417" t="s">
        <v>271</v>
      </c>
      <c r="B38" s="238" t="s">
        <v>272</v>
      </c>
      <c r="C38" s="425" t="s">
        <v>240</v>
      </c>
      <c r="D38" s="408" t="s">
        <v>171</v>
      </c>
      <c r="E38" s="407">
        <v>1</v>
      </c>
      <c r="F38" s="407">
        <v>1</v>
      </c>
      <c r="G38" s="445"/>
      <c r="H38" s="446"/>
      <c r="I38" s="446"/>
      <c r="J38" s="446"/>
    </row>
    <row r="39" spans="1:11" x14ac:dyDescent="0.25">
      <c r="A39" s="417"/>
      <c r="B39" s="239" t="s">
        <v>269</v>
      </c>
      <c r="C39" s="426"/>
      <c r="D39" s="408"/>
      <c r="E39" s="391"/>
      <c r="F39" s="391"/>
      <c r="G39" s="445"/>
      <c r="H39" s="446"/>
      <c r="I39" s="446"/>
      <c r="J39" s="446"/>
    </row>
    <row r="40" spans="1:11" ht="78.75" hidden="1" x14ac:dyDescent="0.4">
      <c r="A40" s="305" t="s">
        <v>273</v>
      </c>
      <c r="B40" s="243" t="s">
        <v>274</v>
      </c>
      <c r="C40" s="320" t="s">
        <v>240</v>
      </c>
      <c r="D40" s="325" t="s">
        <v>171</v>
      </c>
      <c r="E40" s="321"/>
      <c r="F40" s="321"/>
    </row>
    <row r="41" spans="1:11" ht="78.75" hidden="1" x14ac:dyDescent="0.4">
      <c r="A41" s="305" t="s">
        <v>275</v>
      </c>
      <c r="B41" s="243" t="s">
        <v>276</v>
      </c>
      <c r="C41" s="320" t="s">
        <v>240</v>
      </c>
      <c r="D41" s="325" t="s">
        <v>171</v>
      </c>
      <c r="E41" s="321"/>
      <c r="F41" s="321"/>
    </row>
    <row r="42" spans="1:11" ht="52.5" hidden="1" x14ac:dyDescent="0.4">
      <c r="A42" s="147" t="s">
        <v>56</v>
      </c>
      <c r="B42" s="396" t="s">
        <v>121</v>
      </c>
      <c r="C42" s="411"/>
      <c r="D42" s="143" t="s">
        <v>122</v>
      </c>
      <c r="E42" s="143" t="s">
        <v>194</v>
      </c>
      <c r="F42" s="143" t="s">
        <v>195</v>
      </c>
    </row>
    <row r="43" spans="1:11" ht="78.75" hidden="1" x14ac:dyDescent="0.4">
      <c r="A43" s="234" t="s">
        <v>277</v>
      </c>
      <c r="B43" s="244" t="s">
        <v>278</v>
      </c>
      <c r="C43" s="240" t="s">
        <v>240</v>
      </c>
      <c r="D43" s="235" t="s">
        <v>172</v>
      </c>
      <c r="E43" s="264"/>
      <c r="F43" s="265"/>
    </row>
    <row r="44" spans="1:11" ht="78.75" hidden="1" x14ac:dyDescent="0.4">
      <c r="A44" s="234" t="s">
        <v>279</v>
      </c>
      <c r="B44" s="244" t="s">
        <v>345</v>
      </c>
      <c r="C44" s="240" t="s">
        <v>240</v>
      </c>
      <c r="D44" s="235" t="s">
        <v>172</v>
      </c>
      <c r="E44" s="264"/>
      <c r="F44" s="265"/>
    </row>
    <row r="45" spans="1:11" ht="52.5" hidden="1" x14ac:dyDescent="0.4">
      <c r="A45" s="147" t="s">
        <v>59</v>
      </c>
      <c r="B45" s="396" t="s">
        <v>121</v>
      </c>
      <c r="C45" s="411"/>
      <c r="D45" s="143" t="s">
        <v>122</v>
      </c>
      <c r="E45" s="143" t="s">
        <v>194</v>
      </c>
      <c r="F45" s="143" t="s">
        <v>195</v>
      </c>
    </row>
    <row r="46" spans="1:11" ht="157.5" hidden="1" x14ac:dyDescent="0.4">
      <c r="A46" s="234" t="s">
        <v>280</v>
      </c>
      <c r="B46" s="244" t="s">
        <v>363</v>
      </c>
      <c r="C46" s="240" t="s">
        <v>240</v>
      </c>
      <c r="D46" s="235"/>
      <c r="E46" s="264"/>
      <c r="F46" s="265"/>
    </row>
    <row r="47" spans="1:11" ht="78.75" hidden="1" x14ac:dyDescent="0.4">
      <c r="A47" s="431" t="s">
        <v>281</v>
      </c>
      <c r="B47" s="250" t="s">
        <v>282</v>
      </c>
      <c r="C47" s="436" t="s">
        <v>240</v>
      </c>
      <c r="D47" s="431" t="s">
        <v>171</v>
      </c>
      <c r="E47" s="390"/>
      <c r="F47" s="390"/>
    </row>
    <row r="48" spans="1:11" ht="52.5" hidden="1" x14ac:dyDescent="0.4">
      <c r="A48" s="431"/>
      <c r="B48" s="241" t="s">
        <v>283</v>
      </c>
      <c r="C48" s="437"/>
      <c r="D48" s="431"/>
      <c r="E48" s="391"/>
      <c r="F48" s="391"/>
    </row>
    <row r="49" spans="1:6" ht="52.5" hidden="1" x14ac:dyDescent="0.4">
      <c r="A49" s="431" t="s">
        <v>284</v>
      </c>
      <c r="B49" s="251" t="s">
        <v>285</v>
      </c>
      <c r="C49" s="438" t="s">
        <v>240</v>
      </c>
      <c r="D49" s="431" t="s">
        <v>171</v>
      </c>
      <c r="E49" s="390"/>
      <c r="F49" s="390"/>
    </row>
    <row r="50" spans="1:6" hidden="1" x14ac:dyDescent="0.4">
      <c r="A50" s="431"/>
      <c r="B50" s="242" t="s">
        <v>286</v>
      </c>
      <c r="C50" s="439"/>
      <c r="D50" s="431"/>
      <c r="E50" s="412"/>
      <c r="F50" s="412"/>
    </row>
    <row r="51" spans="1:6" ht="52.5" hidden="1" x14ac:dyDescent="0.4">
      <c r="A51" s="147" t="s">
        <v>60</v>
      </c>
      <c r="B51" s="394" t="s">
        <v>121</v>
      </c>
      <c r="C51" s="395"/>
      <c r="D51" s="143" t="s">
        <v>122</v>
      </c>
      <c r="E51" s="143" t="s">
        <v>194</v>
      </c>
      <c r="F51" s="143" t="s">
        <v>195</v>
      </c>
    </row>
    <row r="52" spans="1:6" ht="52.5" hidden="1" x14ac:dyDescent="0.4">
      <c r="A52" s="408" t="s">
        <v>287</v>
      </c>
      <c r="B52" s="243" t="s">
        <v>288</v>
      </c>
      <c r="C52" s="418" t="s">
        <v>289</v>
      </c>
      <c r="D52" s="433" t="s">
        <v>171</v>
      </c>
      <c r="E52" s="392"/>
      <c r="F52" s="390"/>
    </row>
    <row r="53" spans="1:6" hidden="1" x14ac:dyDescent="0.4">
      <c r="A53" s="408"/>
      <c r="B53" s="243" t="s">
        <v>290</v>
      </c>
      <c r="C53" s="418"/>
      <c r="D53" s="434"/>
      <c r="E53" s="391"/>
      <c r="F53" s="391"/>
    </row>
    <row r="54" spans="1:6" ht="78.75" hidden="1" x14ac:dyDescent="0.4">
      <c r="A54" s="408" t="s">
        <v>291</v>
      </c>
      <c r="B54" s="243" t="s">
        <v>292</v>
      </c>
      <c r="C54" s="418" t="s">
        <v>240</v>
      </c>
      <c r="D54" s="398" t="s">
        <v>171</v>
      </c>
      <c r="E54" s="390"/>
      <c r="F54" s="390"/>
    </row>
    <row r="55" spans="1:6" hidden="1" x14ac:dyDescent="0.4">
      <c r="A55" s="408"/>
      <c r="B55" s="243" t="s">
        <v>293</v>
      </c>
      <c r="C55" s="418"/>
      <c r="D55" s="435"/>
      <c r="E55" s="391"/>
      <c r="F55" s="393"/>
    </row>
    <row r="56" spans="1:6" ht="78.75" hidden="1" x14ac:dyDescent="0.4">
      <c r="A56" s="234" t="s">
        <v>294</v>
      </c>
      <c r="B56" s="244" t="s">
        <v>295</v>
      </c>
      <c r="C56" s="240" t="s">
        <v>240</v>
      </c>
      <c r="D56" s="260" t="s">
        <v>172</v>
      </c>
      <c r="E56" s="264"/>
      <c r="F56" s="264"/>
    </row>
    <row r="57" spans="1:6" ht="105" hidden="1" x14ac:dyDescent="0.4">
      <c r="A57" s="234" t="s">
        <v>296</v>
      </c>
      <c r="B57" s="244" t="s">
        <v>297</v>
      </c>
      <c r="C57" s="240" t="s">
        <v>240</v>
      </c>
      <c r="D57" s="260" t="s">
        <v>172</v>
      </c>
      <c r="E57" s="264"/>
      <c r="F57" s="264"/>
    </row>
    <row r="58" spans="1:6" ht="52.5" x14ac:dyDescent="0.4">
      <c r="A58" s="147" t="s">
        <v>61</v>
      </c>
      <c r="B58" s="396" t="s">
        <v>121</v>
      </c>
      <c r="C58" s="397"/>
      <c r="D58" s="143" t="s">
        <v>122</v>
      </c>
      <c r="E58" s="143" t="s">
        <v>194</v>
      </c>
      <c r="F58" s="143" t="s">
        <v>195</v>
      </c>
    </row>
    <row r="59" spans="1:6" ht="29.25" x14ac:dyDescent="0.4">
      <c r="A59" s="245" t="s">
        <v>298</v>
      </c>
      <c r="B59" s="427" t="s">
        <v>299</v>
      </c>
      <c r="C59" s="427"/>
      <c r="D59" s="304" t="s">
        <v>357</v>
      </c>
      <c r="E59" s="326">
        <v>66000</v>
      </c>
      <c r="F59" s="327">
        <v>66000</v>
      </c>
    </row>
    <row r="60" spans="1:6" ht="52.5" hidden="1" x14ac:dyDescent="0.4">
      <c r="A60" s="427" t="s">
        <v>300</v>
      </c>
      <c r="B60" s="237" t="s">
        <v>301</v>
      </c>
      <c r="C60" s="418" t="s">
        <v>240</v>
      </c>
      <c r="D60" s="398" t="s">
        <v>172</v>
      </c>
      <c r="E60" s="400"/>
      <c r="F60" s="400"/>
    </row>
    <row r="61" spans="1:6" hidden="1" x14ac:dyDescent="0.4">
      <c r="A61" s="427"/>
      <c r="B61" s="246" t="s">
        <v>302</v>
      </c>
      <c r="C61" s="418"/>
      <c r="D61" s="399"/>
      <c r="E61" s="401"/>
      <c r="F61" s="401"/>
    </row>
    <row r="62" spans="1:6" ht="52.5" hidden="1" x14ac:dyDescent="0.4">
      <c r="A62" s="427" t="s">
        <v>303</v>
      </c>
      <c r="B62" s="237" t="s">
        <v>304</v>
      </c>
      <c r="C62" s="418" t="s">
        <v>240</v>
      </c>
      <c r="D62" s="398" t="s">
        <v>172</v>
      </c>
      <c r="E62" s="400"/>
      <c r="F62" s="400"/>
    </row>
    <row r="63" spans="1:6" hidden="1" x14ac:dyDescent="0.4">
      <c r="A63" s="427"/>
      <c r="B63" s="243" t="s">
        <v>305</v>
      </c>
      <c r="C63" s="418"/>
      <c r="D63" s="399"/>
      <c r="E63" s="401"/>
      <c r="F63" s="401"/>
    </row>
    <row r="64" spans="1:6" ht="51" customHeight="1" x14ac:dyDescent="0.4">
      <c r="A64" s="147" t="s">
        <v>62</v>
      </c>
      <c r="B64" s="396" t="s">
        <v>121</v>
      </c>
      <c r="C64" s="397"/>
      <c r="D64" s="143" t="s">
        <v>122</v>
      </c>
      <c r="E64" s="143" t="s">
        <v>194</v>
      </c>
      <c r="F64" s="143" t="s">
        <v>195</v>
      </c>
    </row>
    <row r="65" spans="1:10" ht="69" customHeight="1" x14ac:dyDescent="0.25">
      <c r="A65" s="429" t="s">
        <v>306</v>
      </c>
      <c r="B65" s="247" t="s">
        <v>307</v>
      </c>
      <c r="C65" s="430" t="s">
        <v>240</v>
      </c>
      <c r="D65" s="406" t="s">
        <v>171</v>
      </c>
      <c r="E65" s="407">
        <v>0.95</v>
      </c>
      <c r="F65" s="407">
        <v>0.95</v>
      </c>
      <c r="G65" s="445"/>
      <c r="H65" s="446"/>
      <c r="I65" s="446"/>
      <c r="J65" s="446"/>
    </row>
    <row r="66" spans="1:10" ht="69" customHeight="1" x14ac:dyDescent="0.25">
      <c r="A66" s="429"/>
      <c r="B66" s="247" t="s">
        <v>308</v>
      </c>
      <c r="C66" s="430"/>
      <c r="D66" s="406"/>
      <c r="E66" s="391"/>
      <c r="F66" s="391"/>
      <c r="G66" s="445"/>
      <c r="H66" s="446"/>
      <c r="I66" s="446"/>
      <c r="J66" s="446"/>
    </row>
    <row r="67" spans="1:10" ht="69" customHeight="1" x14ac:dyDescent="0.25">
      <c r="A67" s="410" t="s">
        <v>309</v>
      </c>
      <c r="B67" s="248" t="s">
        <v>310</v>
      </c>
      <c r="C67" s="409" t="s">
        <v>240</v>
      </c>
      <c r="D67" s="410" t="s">
        <v>171</v>
      </c>
      <c r="E67" s="407">
        <v>0.64</v>
      </c>
      <c r="F67" s="407">
        <v>0.64</v>
      </c>
      <c r="G67" s="445"/>
      <c r="H67" s="446"/>
      <c r="I67" s="446"/>
      <c r="J67" s="446"/>
    </row>
    <row r="68" spans="1:10" ht="69" customHeight="1" x14ac:dyDescent="0.25">
      <c r="A68" s="410"/>
      <c r="B68" s="248" t="s">
        <v>311</v>
      </c>
      <c r="C68" s="409"/>
      <c r="D68" s="410"/>
      <c r="E68" s="391"/>
      <c r="F68" s="391"/>
      <c r="G68" s="445"/>
      <c r="H68" s="446"/>
      <c r="I68" s="446"/>
      <c r="J68" s="446"/>
    </row>
    <row r="69" spans="1:10" ht="69" customHeight="1" x14ac:dyDescent="0.4">
      <c r="A69" s="147" t="s">
        <v>63</v>
      </c>
      <c r="B69" s="396" t="s">
        <v>121</v>
      </c>
      <c r="C69" s="397"/>
      <c r="D69" s="143" t="s">
        <v>122</v>
      </c>
      <c r="E69" s="143" t="s">
        <v>194</v>
      </c>
      <c r="F69" s="143" t="s">
        <v>195</v>
      </c>
    </row>
    <row r="70" spans="1:10" ht="113.25" hidden="1" customHeight="1" x14ac:dyDescent="0.4">
      <c r="A70" s="245" t="s">
        <v>312</v>
      </c>
      <c r="B70" s="243" t="s">
        <v>346</v>
      </c>
      <c r="C70" s="249" t="s">
        <v>240</v>
      </c>
      <c r="D70" s="236" t="s">
        <v>172</v>
      </c>
      <c r="E70" s="267"/>
      <c r="F70" s="266"/>
    </row>
    <row r="71" spans="1:10" ht="113.25" hidden="1" customHeight="1" x14ac:dyDescent="0.4">
      <c r="A71" s="245" t="s">
        <v>313</v>
      </c>
      <c r="B71" s="243" t="s">
        <v>347</v>
      </c>
      <c r="C71" s="249" t="s">
        <v>240</v>
      </c>
      <c r="D71" s="236" t="s">
        <v>172</v>
      </c>
      <c r="E71" s="267"/>
      <c r="F71" s="268"/>
    </row>
    <row r="72" spans="1:10" ht="74.25" customHeight="1" x14ac:dyDescent="0.4">
      <c r="A72" s="147" t="s">
        <v>64</v>
      </c>
      <c r="B72" s="396" t="s">
        <v>121</v>
      </c>
      <c r="C72" s="397"/>
      <c r="D72" s="143" t="s">
        <v>122</v>
      </c>
      <c r="E72" s="143" t="s">
        <v>194</v>
      </c>
      <c r="F72" s="143" t="s">
        <v>195</v>
      </c>
    </row>
    <row r="73" spans="1:10" ht="68.25" customHeight="1" x14ac:dyDescent="0.4">
      <c r="A73" s="427" t="s">
        <v>314</v>
      </c>
      <c r="B73" s="429" t="s">
        <v>315</v>
      </c>
      <c r="C73" s="429"/>
      <c r="D73" s="408" t="s">
        <v>316</v>
      </c>
      <c r="E73" s="390">
        <v>588</v>
      </c>
      <c r="F73" s="402">
        <v>612</v>
      </c>
      <c r="G73" s="447"/>
      <c r="H73" s="448"/>
      <c r="I73" s="448"/>
      <c r="J73" s="351"/>
    </row>
    <row r="74" spans="1:10" ht="68.25" customHeight="1" x14ac:dyDescent="0.25">
      <c r="A74" s="427"/>
      <c r="B74" s="440" t="s">
        <v>317</v>
      </c>
      <c r="C74" s="440"/>
      <c r="D74" s="408"/>
      <c r="E74" s="391"/>
      <c r="F74" s="403"/>
      <c r="G74" s="449"/>
      <c r="H74" s="448"/>
      <c r="I74" s="448"/>
      <c r="J74" s="351"/>
    </row>
    <row r="75" spans="1:10" ht="68.25" customHeight="1" x14ac:dyDescent="0.25">
      <c r="A75" s="427" t="s">
        <v>318</v>
      </c>
      <c r="B75" s="243" t="s">
        <v>319</v>
      </c>
      <c r="C75" s="418" t="s">
        <v>240</v>
      </c>
      <c r="D75" s="408" t="s">
        <v>316</v>
      </c>
      <c r="E75" s="413">
        <v>0.45100000000000001</v>
      </c>
      <c r="F75" s="404">
        <v>0.41</v>
      </c>
      <c r="G75" s="447"/>
      <c r="H75" s="448"/>
      <c r="I75" s="448"/>
      <c r="J75" s="351"/>
    </row>
    <row r="76" spans="1:10" ht="68.25" customHeight="1" x14ac:dyDescent="0.25">
      <c r="A76" s="427"/>
      <c r="B76" s="243" t="s">
        <v>320</v>
      </c>
      <c r="C76" s="418"/>
      <c r="D76" s="408"/>
      <c r="E76" s="391"/>
      <c r="F76" s="401"/>
      <c r="G76" s="449"/>
      <c r="H76" s="448"/>
      <c r="I76" s="448"/>
      <c r="J76" s="351"/>
    </row>
    <row r="77" spans="1:10" ht="68.25" customHeight="1" x14ac:dyDescent="0.4">
      <c r="A77" s="427" t="s">
        <v>321</v>
      </c>
      <c r="B77" s="408" t="s">
        <v>322</v>
      </c>
      <c r="C77" s="408"/>
      <c r="D77" s="408" t="s">
        <v>316</v>
      </c>
      <c r="E77" s="390">
        <v>5</v>
      </c>
      <c r="F77" s="400">
        <v>5</v>
      </c>
      <c r="G77" s="352"/>
      <c r="H77" s="352"/>
      <c r="I77" s="352"/>
      <c r="J77" s="351"/>
    </row>
    <row r="78" spans="1:10" ht="68.25" customHeight="1" x14ac:dyDescent="0.4">
      <c r="A78" s="427"/>
      <c r="B78" s="408" t="s">
        <v>323</v>
      </c>
      <c r="C78" s="408"/>
      <c r="D78" s="408"/>
      <c r="E78" s="391"/>
      <c r="F78" s="401"/>
      <c r="G78" s="352"/>
      <c r="H78" s="352"/>
      <c r="I78" s="352"/>
      <c r="J78" s="351"/>
    </row>
    <row r="79" spans="1:10" ht="68.25" customHeight="1" x14ac:dyDescent="0.25">
      <c r="A79" s="427" t="s">
        <v>324</v>
      </c>
      <c r="B79" s="243" t="s">
        <v>325</v>
      </c>
      <c r="C79" s="418" t="s">
        <v>240</v>
      </c>
      <c r="D79" s="408" t="s">
        <v>316</v>
      </c>
      <c r="E79" s="413">
        <v>0.27300000000000002</v>
      </c>
      <c r="F79" s="405">
        <v>0.23200000000000001</v>
      </c>
      <c r="G79" s="450"/>
      <c r="H79" s="448"/>
      <c r="I79" s="448"/>
      <c r="J79" s="448"/>
    </row>
    <row r="80" spans="1:10" ht="68.25" customHeight="1" x14ac:dyDescent="0.25">
      <c r="A80" s="427"/>
      <c r="B80" s="243" t="s">
        <v>326</v>
      </c>
      <c r="C80" s="418"/>
      <c r="D80" s="408"/>
      <c r="E80" s="391"/>
      <c r="F80" s="401"/>
      <c r="G80" s="449"/>
      <c r="H80" s="448"/>
      <c r="I80" s="448"/>
      <c r="J80" s="448"/>
    </row>
    <row r="81" spans="1:10" ht="68.25" customHeight="1" x14ac:dyDescent="0.25">
      <c r="A81" s="427" t="s">
        <v>327</v>
      </c>
      <c r="B81" s="243" t="s">
        <v>328</v>
      </c>
      <c r="C81" s="418" t="s">
        <v>240</v>
      </c>
      <c r="D81" s="408" t="s">
        <v>316</v>
      </c>
      <c r="E81" s="407">
        <v>0.53</v>
      </c>
      <c r="F81" s="405">
        <v>0.378</v>
      </c>
      <c r="G81" s="450"/>
      <c r="H81" s="448"/>
      <c r="I81" s="448"/>
      <c r="J81" s="351"/>
    </row>
    <row r="82" spans="1:10" ht="68.25" customHeight="1" x14ac:dyDescent="0.25">
      <c r="A82" s="427"/>
      <c r="B82" s="243" t="s">
        <v>329</v>
      </c>
      <c r="C82" s="418"/>
      <c r="D82" s="408"/>
      <c r="E82" s="391"/>
      <c r="F82" s="401"/>
      <c r="G82" s="449"/>
      <c r="H82" s="448"/>
      <c r="I82" s="448"/>
      <c r="J82" s="351"/>
    </row>
    <row r="83" spans="1:10" ht="76.5" hidden="1" customHeight="1" x14ac:dyDescent="0.4">
      <c r="A83" s="147" t="s">
        <v>65</v>
      </c>
      <c r="B83" s="396" t="s">
        <v>121</v>
      </c>
      <c r="C83" s="397"/>
      <c r="D83" s="143" t="s">
        <v>122</v>
      </c>
      <c r="E83" s="143" t="s">
        <v>194</v>
      </c>
      <c r="F83" s="143" t="s">
        <v>195</v>
      </c>
    </row>
    <row r="84" spans="1:10" ht="59.25" hidden="1" customHeight="1" x14ac:dyDescent="0.4">
      <c r="A84" s="427" t="s">
        <v>330</v>
      </c>
      <c r="B84" s="243" t="s">
        <v>331</v>
      </c>
      <c r="C84" s="418" t="s">
        <v>240</v>
      </c>
      <c r="D84" s="408" t="s">
        <v>316</v>
      </c>
      <c r="E84" s="390"/>
      <c r="F84" s="390"/>
    </row>
    <row r="85" spans="1:10" ht="83.25" hidden="1" customHeight="1" x14ac:dyDescent="0.4">
      <c r="A85" s="427"/>
      <c r="B85" s="243" t="s">
        <v>332</v>
      </c>
      <c r="C85" s="418"/>
      <c r="D85" s="408"/>
      <c r="E85" s="391"/>
      <c r="F85" s="391"/>
    </row>
    <row r="86" spans="1:10" ht="83.25" hidden="1" customHeight="1" x14ac:dyDescent="0.4">
      <c r="A86" s="147" t="s">
        <v>66</v>
      </c>
      <c r="B86" s="396" t="s">
        <v>121</v>
      </c>
      <c r="C86" s="411"/>
      <c r="D86" s="143" t="s">
        <v>122</v>
      </c>
      <c r="E86" s="143" t="s">
        <v>194</v>
      </c>
      <c r="F86" s="143" t="s">
        <v>195</v>
      </c>
    </row>
    <row r="87" spans="1:10" ht="87" hidden="1" customHeight="1" x14ac:dyDescent="0.4">
      <c r="A87" s="427" t="s">
        <v>333</v>
      </c>
      <c r="B87" s="429" t="s">
        <v>364</v>
      </c>
      <c r="C87" s="429"/>
      <c r="D87" s="408" t="s">
        <v>171</v>
      </c>
      <c r="E87" s="390"/>
      <c r="F87" s="390"/>
    </row>
    <row r="88" spans="1:10" ht="87" hidden="1" customHeight="1" x14ac:dyDescent="0.4">
      <c r="A88" s="427"/>
      <c r="B88" s="440" t="s">
        <v>334</v>
      </c>
      <c r="C88" s="440"/>
      <c r="D88" s="408"/>
      <c r="E88" s="391"/>
      <c r="F88" s="391"/>
    </row>
    <row r="89" spans="1:10" ht="52.5" hidden="1" x14ac:dyDescent="0.4">
      <c r="A89" s="147" t="s">
        <v>67</v>
      </c>
      <c r="B89" s="396" t="s">
        <v>121</v>
      </c>
      <c r="C89" s="411"/>
      <c r="D89" s="143" t="s">
        <v>122</v>
      </c>
      <c r="E89" s="143" t="s">
        <v>194</v>
      </c>
      <c r="F89" s="143" t="s">
        <v>195</v>
      </c>
    </row>
    <row r="90" spans="1:10" ht="88.5" hidden="1" customHeight="1" x14ac:dyDescent="0.4">
      <c r="A90" s="427" t="s">
        <v>335</v>
      </c>
      <c r="B90" s="237" t="s">
        <v>336</v>
      </c>
      <c r="C90" s="418" t="s">
        <v>240</v>
      </c>
      <c r="D90" s="408" t="s">
        <v>171</v>
      </c>
      <c r="E90" s="390"/>
      <c r="F90" s="390"/>
    </row>
    <row r="91" spans="1:10" ht="88.5" hidden="1" customHeight="1" x14ac:dyDescent="0.4">
      <c r="A91" s="427"/>
      <c r="B91" s="246" t="s">
        <v>337</v>
      </c>
      <c r="C91" s="418"/>
      <c r="D91" s="408"/>
      <c r="E91" s="391"/>
      <c r="F91" s="391"/>
    </row>
    <row r="92" spans="1:10" ht="52.5" hidden="1" x14ac:dyDescent="0.4">
      <c r="A92" s="147" t="s">
        <v>68</v>
      </c>
      <c r="B92" s="396" t="s">
        <v>121</v>
      </c>
      <c r="C92" s="411"/>
      <c r="D92" s="143" t="s">
        <v>122</v>
      </c>
      <c r="E92" s="143" t="s">
        <v>194</v>
      </c>
      <c r="F92" s="143" t="s">
        <v>195</v>
      </c>
    </row>
    <row r="93" spans="1:10" ht="85.5" hidden="1" customHeight="1" x14ac:dyDescent="0.4">
      <c r="A93" s="427" t="s">
        <v>338</v>
      </c>
      <c r="B93" s="237" t="s">
        <v>339</v>
      </c>
      <c r="C93" s="418" t="s">
        <v>240</v>
      </c>
      <c r="D93" s="408" t="s">
        <v>316</v>
      </c>
      <c r="E93" s="390"/>
      <c r="F93" s="390"/>
    </row>
    <row r="94" spans="1:10" ht="85.5" hidden="1" customHeight="1" x14ac:dyDescent="0.4">
      <c r="A94" s="427"/>
      <c r="B94" s="243" t="s">
        <v>340</v>
      </c>
      <c r="C94" s="418"/>
      <c r="D94" s="408"/>
      <c r="E94" s="391"/>
      <c r="F94" s="391"/>
    </row>
    <row r="95" spans="1:10" ht="85.5" hidden="1" customHeight="1" x14ac:dyDescent="0.4">
      <c r="A95" s="427" t="s">
        <v>341</v>
      </c>
      <c r="B95" s="243" t="s">
        <v>342</v>
      </c>
      <c r="C95" s="418" t="s">
        <v>240</v>
      </c>
      <c r="D95" s="408" t="s">
        <v>316</v>
      </c>
      <c r="E95" s="390"/>
      <c r="F95" s="390"/>
    </row>
    <row r="96" spans="1:10" ht="85.5" hidden="1" customHeight="1" x14ac:dyDescent="0.4">
      <c r="A96" s="427"/>
      <c r="B96" s="243" t="s">
        <v>343</v>
      </c>
      <c r="C96" s="418"/>
      <c r="D96" s="408"/>
      <c r="E96" s="391"/>
      <c r="F96" s="391"/>
    </row>
    <row r="97" spans="1:10" ht="99" hidden="1" customHeight="1" x14ac:dyDescent="0.4">
      <c r="A97" s="234" t="s">
        <v>348</v>
      </c>
      <c r="B97" s="244" t="s">
        <v>344</v>
      </c>
      <c r="C97" s="240" t="s">
        <v>240</v>
      </c>
      <c r="D97" s="235" t="s">
        <v>316</v>
      </c>
      <c r="E97" s="264"/>
      <c r="F97" s="264"/>
    </row>
    <row r="98" spans="1:10" ht="49.5" customHeight="1" x14ac:dyDescent="0.55000000000000004">
      <c r="A98" s="269" t="s">
        <v>365</v>
      </c>
    </row>
    <row r="100" spans="1:10" x14ac:dyDescent="0.4">
      <c r="A100" s="330" t="s">
        <v>759</v>
      </c>
      <c r="B100" s="329"/>
      <c r="C100" s="328"/>
      <c r="D100" s="329"/>
      <c r="E100" s="328"/>
      <c r="F100" s="328"/>
      <c r="G100" s="328"/>
      <c r="H100" s="328"/>
      <c r="I100" s="328"/>
      <c r="J100" s="328"/>
    </row>
    <row r="101" spans="1:10" s="263" customFormat="1" x14ac:dyDescent="0.4">
      <c r="B101" s="324"/>
      <c r="D101" s="324"/>
    </row>
    <row r="102" spans="1:10" s="263" customFormat="1" x14ac:dyDescent="0.4">
      <c r="B102" s="324"/>
      <c r="D102" s="324"/>
    </row>
    <row r="103" spans="1:10" s="263" customFormat="1" x14ac:dyDescent="0.4">
      <c r="B103" s="324"/>
      <c r="D103" s="324"/>
    </row>
    <row r="104" spans="1:10" s="263" customFormat="1" x14ac:dyDescent="0.4">
      <c r="B104" s="324"/>
      <c r="D104" s="324"/>
    </row>
    <row r="105" spans="1:10" s="263" customFormat="1" x14ac:dyDescent="0.4">
      <c r="B105" s="324"/>
      <c r="D105" s="324"/>
    </row>
    <row r="106" spans="1:10" s="263" customFormat="1" x14ac:dyDescent="0.4">
      <c r="B106" s="324"/>
      <c r="D106" s="324"/>
    </row>
    <row r="107" spans="1:10" s="263" customFormat="1" x14ac:dyDescent="0.4">
      <c r="B107" s="324"/>
      <c r="D107" s="324"/>
    </row>
    <row r="108" spans="1:10" s="263" customFormat="1" x14ac:dyDescent="0.4">
      <c r="B108" s="324"/>
      <c r="D108" s="324"/>
    </row>
    <row r="109" spans="1:10" s="263" customFormat="1" x14ac:dyDescent="0.4">
      <c r="B109" s="324"/>
      <c r="D109" s="324"/>
    </row>
  </sheetData>
  <mergeCells count="182">
    <mergeCell ref="G38:J39"/>
    <mergeCell ref="G36:J37"/>
    <mergeCell ref="G65:J66"/>
    <mergeCell ref="G67:J68"/>
    <mergeCell ref="G73:I74"/>
    <mergeCell ref="G75:I76"/>
    <mergeCell ref="G79:J80"/>
    <mergeCell ref="G81:I82"/>
    <mergeCell ref="G15:J16"/>
    <mergeCell ref="G17:J18"/>
    <mergeCell ref="G20:J21"/>
    <mergeCell ref="G23:J24"/>
    <mergeCell ref="G31:J32"/>
    <mergeCell ref="G33:J34"/>
    <mergeCell ref="F8:F9"/>
    <mergeCell ref="A2:F2"/>
    <mergeCell ref="A3:F3"/>
    <mergeCell ref="A5:F5"/>
    <mergeCell ref="E23:E24"/>
    <mergeCell ref="B7:C7"/>
    <mergeCell ref="E8:E9"/>
    <mergeCell ref="A90:A91"/>
    <mergeCell ref="C90:C91"/>
    <mergeCell ref="D90:D91"/>
    <mergeCell ref="A84:A85"/>
    <mergeCell ref="C84:C85"/>
    <mergeCell ref="D84:D85"/>
    <mergeCell ref="A87:A88"/>
    <mergeCell ref="B87:C87"/>
    <mergeCell ref="D87:D88"/>
    <mergeCell ref="B88:C88"/>
    <mergeCell ref="A79:A80"/>
    <mergeCell ref="C79:C80"/>
    <mergeCell ref="D79:D80"/>
    <mergeCell ref="A81:A82"/>
    <mergeCell ref="C81:C82"/>
    <mergeCell ref="D81:D82"/>
    <mergeCell ref="A67:A68"/>
    <mergeCell ref="A73:A74"/>
    <mergeCell ref="B73:C73"/>
    <mergeCell ref="D73:D74"/>
    <mergeCell ref="B74:C74"/>
    <mergeCell ref="B59:C59"/>
    <mergeCell ref="A60:A61"/>
    <mergeCell ref="C60:C61"/>
    <mergeCell ref="A62:A63"/>
    <mergeCell ref="C62:C63"/>
    <mergeCell ref="A52:A53"/>
    <mergeCell ref="C52:C53"/>
    <mergeCell ref="D52:D53"/>
    <mergeCell ref="A54:A55"/>
    <mergeCell ref="C54:C55"/>
    <mergeCell ref="D54:D55"/>
    <mergeCell ref="C47:C48"/>
    <mergeCell ref="D47:D48"/>
    <mergeCell ref="A49:A50"/>
    <mergeCell ref="C49:C50"/>
    <mergeCell ref="D49:D50"/>
    <mergeCell ref="A8:A9"/>
    <mergeCell ref="C8:C9"/>
    <mergeCell ref="D8:D9"/>
    <mergeCell ref="A23:A24"/>
    <mergeCell ref="C23:C24"/>
    <mergeCell ref="D23:D24"/>
    <mergeCell ref="E87:E88"/>
    <mergeCell ref="F77:F78"/>
    <mergeCell ref="E90:E91"/>
    <mergeCell ref="E75:E76"/>
    <mergeCell ref="F65:F66"/>
    <mergeCell ref="F67:F68"/>
    <mergeCell ref="E73:E74"/>
    <mergeCell ref="E67:E68"/>
    <mergeCell ref="E60:E61"/>
    <mergeCell ref="E62:E63"/>
    <mergeCell ref="F52:F53"/>
    <mergeCell ref="A65:A66"/>
    <mergeCell ref="C65:C66"/>
    <mergeCell ref="A47:A48"/>
    <mergeCell ref="C36:C37"/>
    <mergeCell ref="D36:D37"/>
    <mergeCell ref="A38:A39"/>
    <mergeCell ref="C38:C39"/>
    <mergeCell ref="A95:A96"/>
    <mergeCell ref="E84:E85"/>
    <mergeCell ref="C95:C96"/>
    <mergeCell ref="D95:D96"/>
    <mergeCell ref="E79:E80"/>
    <mergeCell ref="E81:E82"/>
    <mergeCell ref="E77:E78"/>
    <mergeCell ref="B69:C69"/>
    <mergeCell ref="B72:C72"/>
    <mergeCell ref="B83:C83"/>
    <mergeCell ref="B86:C86"/>
    <mergeCell ref="B89:C89"/>
    <mergeCell ref="B92:C92"/>
    <mergeCell ref="E95:E96"/>
    <mergeCell ref="E93:E94"/>
    <mergeCell ref="A93:A94"/>
    <mergeCell ref="C93:C94"/>
    <mergeCell ref="D93:D94"/>
    <mergeCell ref="A75:A76"/>
    <mergeCell ref="C75:C76"/>
    <mergeCell ref="D75:D76"/>
    <mergeCell ref="A77:A78"/>
    <mergeCell ref="B77:C77"/>
    <mergeCell ref="D77:D78"/>
    <mergeCell ref="A36:A37"/>
    <mergeCell ref="A25:A26"/>
    <mergeCell ref="C25:C26"/>
    <mergeCell ref="A15:A16"/>
    <mergeCell ref="C15:C16"/>
    <mergeCell ref="D15:D16"/>
    <mergeCell ref="A17:A18"/>
    <mergeCell ref="C17:C18"/>
    <mergeCell ref="D17:D18"/>
    <mergeCell ref="A19:A20"/>
    <mergeCell ref="C19:C20"/>
    <mergeCell ref="D19:D20"/>
    <mergeCell ref="A21:A22"/>
    <mergeCell ref="C21:C22"/>
    <mergeCell ref="D21:D22"/>
    <mergeCell ref="B30:C30"/>
    <mergeCell ref="B35:C35"/>
    <mergeCell ref="D25:D26"/>
    <mergeCell ref="A31:A32"/>
    <mergeCell ref="C31:C32"/>
    <mergeCell ref="D31:D32"/>
    <mergeCell ref="A33:A34"/>
    <mergeCell ref="C33:C34"/>
    <mergeCell ref="D33:D34"/>
    <mergeCell ref="B14:C14"/>
    <mergeCell ref="A13:F13"/>
    <mergeCell ref="F25:F26"/>
    <mergeCell ref="E21:E22"/>
    <mergeCell ref="E15:E16"/>
    <mergeCell ref="E17:E18"/>
    <mergeCell ref="F17:F18"/>
    <mergeCell ref="E19:E20"/>
    <mergeCell ref="F19:F20"/>
    <mergeCell ref="F21:F22"/>
    <mergeCell ref="F23:F24"/>
    <mergeCell ref="E25:E26"/>
    <mergeCell ref="F15:F16"/>
    <mergeCell ref="F38:F39"/>
    <mergeCell ref="F31:F32"/>
    <mergeCell ref="F33:F34"/>
    <mergeCell ref="B42:C42"/>
    <mergeCell ref="B45:C45"/>
    <mergeCell ref="E47:E48"/>
    <mergeCell ref="F47:F48"/>
    <mergeCell ref="E49:E50"/>
    <mergeCell ref="F49:F50"/>
    <mergeCell ref="E31:E32"/>
    <mergeCell ref="E33:E34"/>
    <mergeCell ref="E36:E37"/>
    <mergeCell ref="F36:F37"/>
    <mergeCell ref="D38:D39"/>
    <mergeCell ref="E38:E39"/>
    <mergeCell ref="F95:F96"/>
    <mergeCell ref="E52:E53"/>
    <mergeCell ref="E54:E55"/>
    <mergeCell ref="F54:F55"/>
    <mergeCell ref="B51:C51"/>
    <mergeCell ref="B58:C58"/>
    <mergeCell ref="D60:D61"/>
    <mergeCell ref="F60:F61"/>
    <mergeCell ref="D62:D63"/>
    <mergeCell ref="F62:F63"/>
    <mergeCell ref="B64:C64"/>
    <mergeCell ref="F73:F74"/>
    <mergeCell ref="F75:F76"/>
    <mergeCell ref="F79:F80"/>
    <mergeCell ref="F81:F82"/>
    <mergeCell ref="F84:F85"/>
    <mergeCell ref="F87:F88"/>
    <mergeCell ref="F90:F91"/>
    <mergeCell ref="F93:F94"/>
    <mergeCell ref="D65:D66"/>
    <mergeCell ref="E65:E66"/>
    <mergeCell ref="B78:C78"/>
    <mergeCell ref="C67:C68"/>
    <mergeCell ref="D67:D68"/>
  </mergeCells>
  <pageMargins left="0.511811024" right="0.511811024" top="0.78740157499999996" bottom="0.78740157499999996" header="0.31496062000000002" footer="0.31496062000000002"/>
  <pageSetup paperSize="9" scale="2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tabColor rgb="FF92D050"/>
    <pageSetUpPr fitToPage="1"/>
  </sheetPr>
  <dimension ref="A2:X48"/>
  <sheetViews>
    <sheetView showGridLines="0" topLeftCell="A22" zoomScale="60" zoomScaleNormal="60" zoomScaleSheetLayoutView="80" workbookViewId="0">
      <selection activeCell="J32" sqref="J32:K32"/>
    </sheetView>
  </sheetViews>
  <sheetFormatPr defaultColWidth="9.140625" defaultRowHeight="15" x14ac:dyDescent="0.25"/>
  <cols>
    <col min="1" max="1" width="28.7109375" style="2" customWidth="1"/>
    <col min="2" max="2" width="10.42578125" style="2" customWidth="1"/>
    <col min="3" max="3" width="12.85546875" style="2" customWidth="1"/>
    <col min="4" max="4" width="10.5703125" style="2" hidden="1" customWidth="1"/>
    <col min="5" max="5" width="43.28515625" style="2" customWidth="1"/>
    <col min="6" max="6" width="51.5703125" style="2" customWidth="1"/>
    <col min="7" max="7" width="41.85546875" style="2" customWidth="1"/>
    <col min="8" max="8" width="56.7109375" style="2" customWidth="1"/>
    <col min="9" max="9" width="22.85546875" style="2" customWidth="1"/>
    <col min="10" max="12" width="23.5703125" style="2" customWidth="1"/>
    <col min="13" max="13" width="17.85546875" style="2" hidden="1" customWidth="1"/>
    <col min="14" max="14" width="27.28515625" style="2" hidden="1" customWidth="1"/>
    <col min="15" max="15" width="18.85546875" style="2" customWidth="1"/>
    <col min="16" max="16" width="20.42578125" style="2" customWidth="1"/>
    <col min="17" max="17" width="19.28515625" style="2" hidden="1" customWidth="1"/>
    <col min="18" max="23" width="16.5703125" style="2" hidden="1" customWidth="1"/>
    <col min="24" max="24" width="16.5703125" style="2" bestFit="1" customWidth="1"/>
    <col min="25" max="16384" width="9.140625" style="2"/>
  </cols>
  <sheetData>
    <row r="2" spans="1:24" ht="86.25" customHeight="1" x14ac:dyDescent="0.25"/>
    <row r="3" spans="1:24" s="4" customFormat="1" ht="30.75" customHeight="1" x14ac:dyDescent="0.25">
      <c r="A3" s="464" t="s">
        <v>143</v>
      </c>
      <c r="B3" s="464"/>
      <c r="C3" s="464"/>
      <c r="D3" s="464"/>
      <c r="E3" s="464"/>
      <c r="F3" s="464"/>
      <c r="G3" s="464"/>
      <c r="H3" s="464"/>
      <c r="I3" s="464"/>
      <c r="J3" s="464"/>
      <c r="K3" s="464"/>
      <c r="L3" s="464"/>
      <c r="M3" s="464"/>
      <c r="N3" s="464"/>
      <c r="O3" s="464"/>
      <c r="P3" s="464"/>
    </row>
    <row r="4" spans="1:24" s="4" customFormat="1" ht="30" customHeight="1" x14ac:dyDescent="0.25">
      <c r="A4" s="454" t="str">
        <f>'Matriz Objetivos x Projetos'!A7:W7</f>
        <v xml:space="preserve">CAU/UF:  </v>
      </c>
      <c r="B4" s="454"/>
      <c r="C4" s="454"/>
      <c r="D4" s="454"/>
      <c r="E4" s="454"/>
      <c r="F4" s="454"/>
      <c r="G4" s="454"/>
      <c r="H4" s="454"/>
      <c r="I4" s="454"/>
      <c r="J4" s="454"/>
      <c r="K4" s="454"/>
      <c r="L4" s="454"/>
      <c r="M4" s="454"/>
      <c r="N4" s="454"/>
      <c r="O4" s="454"/>
      <c r="P4" s="454"/>
    </row>
    <row r="5" spans="1:24" s="4" customFormat="1" ht="30" customHeight="1" x14ac:dyDescent="0.25">
      <c r="A5" s="454" t="s">
        <v>197</v>
      </c>
      <c r="B5" s="454"/>
      <c r="C5" s="454"/>
      <c r="D5" s="454"/>
      <c r="E5" s="454"/>
      <c r="F5" s="454"/>
      <c r="G5" s="454"/>
      <c r="H5" s="454"/>
      <c r="I5" s="454"/>
      <c r="J5" s="454"/>
      <c r="K5" s="454"/>
      <c r="L5" s="454"/>
      <c r="M5" s="454"/>
      <c r="N5" s="454"/>
      <c r="O5" s="454"/>
      <c r="P5" s="454"/>
    </row>
    <row r="6" spans="1:24" s="4" customFormat="1" ht="30" customHeight="1" x14ac:dyDescent="0.25">
      <c r="A6" s="454" t="s">
        <v>145</v>
      </c>
      <c r="B6" s="454"/>
      <c r="C6" s="454"/>
      <c r="D6" s="454"/>
      <c r="E6" s="454"/>
      <c r="F6" s="454"/>
      <c r="G6" s="454"/>
      <c r="H6" s="454"/>
      <c r="I6" s="454"/>
      <c r="J6" s="454"/>
      <c r="K6" s="454"/>
      <c r="L6" s="454"/>
      <c r="M6" s="454"/>
      <c r="N6" s="454"/>
      <c r="O6" s="454"/>
      <c r="P6" s="454" t="s">
        <v>42</v>
      </c>
    </row>
    <row r="7" spans="1:24" s="4" customFormat="1" ht="39" customHeight="1" x14ac:dyDescent="0.25">
      <c r="A7" s="466" t="s">
        <v>21</v>
      </c>
      <c r="B7" s="456" t="s">
        <v>90</v>
      </c>
      <c r="C7" s="456" t="s">
        <v>235</v>
      </c>
      <c r="D7" s="456" t="s">
        <v>230</v>
      </c>
      <c r="E7" s="456" t="s">
        <v>22</v>
      </c>
      <c r="F7" s="456" t="s">
        <v>115</v>
      </c>
      <c r="G7" s="456" t="s">
        <v>77</v>
      </c>
      <c r="H7" s="457" t="s">
        <v>149</v>
      </c>
      <c r="I7" s="456" t="s">
        <v>206</v>
      </c>
      <c r="J7" s="461" t="s">
        <v>205</v>
      </c>
      <c r="K7" s="462"/>
      <c r="L7" s="462"/>
      <c r="M7" s="462"/>
      <c r="N7" s="463"/>
      <c r="O7" s="456" t="s">
        <v>88</v>
      </c>
      <c r="P7" s="465"/>
    </row>
    <row r="8" spans="1:24" s="4" customFormat="1" ht="74.25" customHeight="1" x14ac:dyDescent="0.25">
      <c r="A8" s="467"/>
      <c r="B8" s="457"/>
      <c r="C8" s="457"/>
      <c r="D8" s="457"/>
      <c r="E8" s="457"/>
      <c r="F8" s="457"/>
      <c r="G8" s="457"/>
      <c r="H8" s="457"/>
      <c r="I8" s="457"/>
      <c r="J8" s="206" t="s">
        <v>204</v>
      </c>
      <c r="K8" s="216" t="s">
        <v>198</v>
      </c>
      <c r="L8" s="206" t="s">
        <v>199</v>
      </c>
      <c r="M8" s="206" t="s">
        <v>200</v>
      </c>
      <c r="N8" s="206" t="s">
        <v>201</v>
      </c>
      <c r="O8" s="206" t="s">
        <v>202</v>
      </c>
      <c r="P8" s="206" t="s">
        <v>203</v>
      </c>
      <c r="Q8" s="4" t="s">
        <v>21</v>
      </c>
      <c r="R8" s="4" t="s">
        <v>90</v>
      </c>
      <c r="S8" s="4" t="s">
        <v>22</v>
      </c>
      <c r="T8" s="4" t="s">
        <v>115</v>
      </c>
      <c r="U8" s="4" t="s">
        <v>77</v>
      </c>
      <c r="V8" s="4" t="s">
        <v>149</v>
      </c>
      <c r="W8" s="4" t="s">
        <v>181</v>
      </c>
      <c r="X8" s="4" t="s">
        <v>758</v>
      </c>
    </row>
    <row r="9" spans="1:24" s="4" customFormat="1" ht="70.5" customHeight="1" x14ac:dyDescent="0.25">
      <c r="A9" s="209" t="s">
        <v>368</v>
      </c>
      <c r="B9" s="210" t="s">
        <v>383</v>
      </c>
      <c r="C9" s="210" t="s">
        <v>641</v>
      </c>
      <c r="D9" s="335"/>
      <c r="E9" s="270" t="s">
        <v>386</v>
      </c>
      <c r="F9" s="270" t="s">
        <v>414</v>
      </c>
      <c r="G9" s="211" t="s">
        <v>61</v>
      </c>
      <c r="H9" s="270" t="s">
        <v>442</v>
      </c>
      <c r="I9" s="212">
        <v>156018.28000000003</v>
      </c>
      <c r="J9" s="212">
        <v>79052.58</v>
      </c>
      <c r="K9" s="212">
        <v>104624</v>
      </c>
      <c r="L9" s="219">
        <f t="shared" ref="L9:L37" si="0">J9+K9</f>
        <v>183676.58000000002</v>
      </c>
      <c r="M9" s="212"/>
      <c r="N9" s="213">
        <f>IFERROR(M9/L9*100,)</f>
        <v>0</v>
      </c>
      <c r="O9" s="214">
        <f>L9-I9</f>
        <v>27658.299999999988</v>
      </c>
      <c r="P9" s="215">
        <f>IFERROR(O9/I9*100,)</f>
        <v>17.72760217584759</v>
      </c>
      <c r="Q9" s="74" t="b">
        <f>A9=[1]FORM.2!A7</f>
        <v>1</v>
      </c>
      <c r="R9" s="4" t="b">
        <f>B9=[1]FORM.2!$B$7</f>
        <v>1</v>
      </c>
      <c r="S9" s="4" t="b">
        <f>E9=[1]FORM.2!D7</f>
        <v>1</v>
      </c>
      <c r="T9" s="4" t="e">
        <f>F9=#REF!</f>
        <v>#REF!</v>
      </c>
      <c r="U9" s="4" t="e">
        <f>G9=#REF!</f>
        <v>#REF!</v>
      </c>
      <c r="V9" s="4" t="e">
        <f>H9=#REF!</f>
        <v>#REF!</v>
      </c>
      <c r="W9" s="4" t="e">
        <f>I9=#REF!</f>
        <v>#REF!</v>
      </c>
      <c r="X9" s="4" t="b">
        <f>J9=Sheet!G44</f>
        <v>1</v>
      </c>
    </row>
    <row r="10" spans="1:24" s="4" customFormat="1" ht="59.25" customHeight="1" x14ac:dyDescent="0.25">
      <c r="A10" s="209" t="s">
        <v>369</v>
      </c>
      <c r="B10" s="210" t="s">
        <v>383</v>
      </c>
      <c r="C10" s="210" t="s">
        <v>641</v>
      </c>
      <c r="D10" s="335"/>
      <c r="E10" s="270" t="s">
        <v>387</v>
      </c>
      <c r="F10" s="270" t="s">
        <v>415</v>
      </c>
      <c r="G10" s="211" t="s">
        <v>67</v>
      </c>
      <c r="H10" s="270" t="s">
        <v>443</v>
      </c>
      <c r="I10" s="212">
        <v>613117.27</v>
      </c>
      <c r="J10" s="212">
        <v>219819.62</v>
      </c>
      <c r="K10" s="212">
        <v>377071</v>
      </c>
      <c r="L10" s="219">
        <f t="shared" si="0"/>
        <v>596890.62</v>
      </c>
      <c r="M10" s="212"/>
      <c r="N10" s="213">
        <f t="shared" ref="N10:N37" si="1">IFERROR(M10/L10*100,)</f>
        <v>0</v>
      </c>
      <c r="O10" s="214">
        <f t="shared" ref="O10:O20" si="2">L10-I10</f>
        <v>-16226.650000000023</v>
      </c>
      <c r="P10" s="215">
        <f t="shared" ref="P10:P38" si="3">IFERROR(O10/I10*100,)</f>
        <v>-2.6465817868741528</v>
      </c>
      <c r="Q10" s="74" t="b">
        <f>A10=[1]FORM.2!A8</f>
        <v>1</v>
      </c>
      <c r="R10" s="4" t="b">
        <f>B10=[1]FORM.2!$B$7</f>
        <v>1</v>
      </c>
      <c r="S10" s="4" t="b">
        <f>E10=[1]FORM.2!D8</f>
        <v>1</v>
      </c>
      <c r="T10" s="4" t="e">
        <f>F10=#REF!</f>
        <v>#REF!</v>
      </c>
      <c r="U10" s="4" t="e">
        <f>G10=#REF!</f>
        <v>#REF!</v>
      </c>
      <c r="V10" s="4" t="e">
        <f>H10=#REF!</f>
        <v>#REF!</v>
      </c>
      <c r="W10" s="4" t="e">
        <f>I10=#REF!</f>
        <v>#REF!</v>
      </c>
      <c r="X10" s="4" t="b">
        <f>J10=Sheet!G68</f>
        <v>1</v>
      </c>
    </row>
    <row r="11" spans="1:24" s="4" customFormat="1" ht="59.25" customHeight="1" x14ac:dyDescent="0.25">
      <c r="A11" s="209" t="s">
        <v>370</v>
      </c>
      <c r="B11" s="210" t="s">
        <v>383</v>
      </c>
      <c r="C11" s="210" t="s">
        <v>641</v>
      </c>
      <c r="D11" s="335"/>
      <c r="E11" s="270" t="s">
        <v>388</v>
      </c>
      <c r="F11" s="270" t="s">
        <v>416</v>
      </c>
      <c r="G11" s="211" t="s">
        <v>71</v>
      </c>
      <c r="H11" s="270" t="s">
        <v>444</v>
      </c>
      <c r="I11" s="212">
        <v>205122.7</v>
      </c>
      <c r="J11" s="212">
        <v>65532.52</v>
      </c>
      <c r="K11" s="212">
        <v>147370</v>
      </c>
      <c r="L11" s="219">
        <f t="shared" si="0"/>
        <v>212902.52</v>
      </c>
      <c r="M11" s="212"/>
      <c r="N11" s="213">
        <f t="shared" si="1"/>
        <v>0</v>
      </c>
      <c r="O11" s="214">
        <f t="shared" si="2"/>
        <v>7779.8199999999779</v>
      </c>
      <c r="P11" s="215">
        <f t="shared" si="3"/>
        <v>3.7927640383048669</v>
      </c>
      <c r="Q11" s="74" t="b">
        <f>A11=[1]FORM.2!A9</f>
        <v>1</v>
      </c>
      <c r="R11" s="4" t="b">
        <f>B11=[1]FORM.2!$B$7</f>
        <v>1</v>
      </c>
      <c r="S11" s="4" t="b">
        <f>E11=[1]FORM.2!D9</f>
        <v>1</v>
      </c>
      <c r="T11" s="4" t="e">
        <f>F11=#REF!</f>
        <v>#REF!</v>
      </c>
      <c r="U11" s="4" t="e">
        <f>G11=#REF!</f>
        <v>#REF!</v>
      </c>
      <c r="V11" s="4" t="e">
        <f>H11=#REF!</f>
        <v>#REF!</v>
      </c>
      <c r="W11" s="4" t="e">
        <f>I11=#REF!</f>
        <v>#REF!</v>
      </c>
      <c r="X11" s="4" t="b">
        <f>J11=Sheet!G76</f>
        <v>1</v>
      </c>
    </row>
    <row r="12" spans="1:24" s="4" customFormat="1" ht="59.25" customHeight="1" x14ac:dyDescent="0.25">
      <c r="A12" s="209" t="s">
        <v>371</v>
      </c>
      <c r="B12" s="210" t="s">
        <v>383</v>
      </c>
      <c r="C12" s="210" t="s">
        <v>641</v>
      </c>
      <c r="D12" s="335"/>
      <c r="E12" s="270" t="s">
        <v>389</v>
      </c>
      <c r="F12" s="270" t="s">
        <v>417</v>
      </c>
      <c r="G12" s="211" t="s">
        <v>53</v>
      </c>
      <c r="H12" s="270" t="s">
        <v>445</v>
      </c>
      <c r="I12" s="212">
        <v>160808.57999999999</v>
      </c>
      <c r="J12" s="212">
        <v>37241.519999999997</v>
      </c>
      <c r="K12" s="212">
        <v>44509</v>
      </c>
      <c r="L12" s="219">
        <f t="shared" si="0"/>
        <v>81750.51999999999</v>
      </c>
      <c r="M12" s="212"/>
      <c r="N12" s="213">
        <f t="shared" si="1"/>
        <v>0</v>
      </c>
      <c r="O12" s="214">
        <f t="shared" si="2"/>
        <v>-79058.06</v>
      </c>
      <c r="P12" s="215">
        <f t="shared" si="3"/>
        <v>-49.16283695807774</v>
      </c>
      <c r="Q12" s="74" t="b">
        <f>A12=[1]FORM.2!A10</f>
        <v>1</v>
      </c>
      <c r="R12" s="4" t="b">
        <f>B12=[1]FORM.2!$B$7</f>
        <v>1</v>
      </c>
      <c r="S12" s="4" t="b">
        <f>E12=[1]FORM.2!D10</f>
        <v>1</v>
      </c>
      <c r="T12" s="4" t="e">
        <f>F12=#REF!</f>
        <v>#REF!</v>
      </c>
      <c r="U12" s="4" t="e">
        <f>G12=#REF!</f>
        <v>#REF!</v>
      </c>
      <c r="V12" s="4" t="e">
        <f>H12=#REF!</f>
        <v>#REF!</v>
      </c>
      <c r="W12" s="4" t="e">
        <f>I12=#REF!</f>
        <v>#REF!</v>
      </c>
      <c r="X12" s="4" t="b">
        <f>J12=Sheet!G78</f>
        <v>1</v>
      </c>
    </row>
    <row r="13" spans="1:24" s="4" customFormat="1" ht="114.75" customHeight="1" x14ac:dyDescent="0.25">
      <c r="A13" s="209" t="s">
        <v>372</v>
      </c>
      <c r="B13" s="210" t="s">
        <v>383</v>
      </c>
      <c r="C13" s="210" t="s">
        <v>641</v>
      </c>
      <c r="D13" s="335"/>
      <c r="E13" s="270" t="s">
        <v>390</v>
      </c>
      <c r="F13" s="270" t="s">
        <v>418</v>
      </c>
      <c r="G13" s="211" t="s">
        <v>64</v>
      </c>
      <c r="H13" s="270" t="s">
        <v>446</v>
      </c>
      <c r="I13" s="212">
        <v>391808.58</v>
      </c>
      <c r="J13" s="212">
        <v>111191.59</v>
      </c>
      <c r="K13" s="212">
        <v>306709</v>
      </c>
      <c r="L13" s="219">
        <f t="shared" si="0"/>
        <v>417900.58999999997</v>
      </c>
      <c r="M13" s="212"/>
      <c r="N13" s="213">
        <f t="shared" si="1"/>
        <v>0</v>
      </c>
      <c r="O13" s="214">
        <f t="shared" si="2"/>
        <v>26092.009999999951</v>
      </c>
      <c r="P13" s="215">
        <f t="shared" si="3"/>
        <v>6.6593768824562112</v>
      </c>
      <c r="Q13" s="74" t="b">
        <f>A13=[1]FORM.2!A11</f>
        <v>1</v>
      </c>
      <c r="R13" s="4" t="b">
        <f>B13=[1]FORM.2!$B$7</f>
        <v>1</v>
      </c>
      <c r="S13" s="4" t="b">
        <f>E13=[1]FORM.2!D11</f>
        <v>1</v>
      </c>
      <c r="T13" s="4" t="e">
        <f>F13=#REF!</f>
        <v>#REF!</v>
      </c>
      <c r="U13" s="4" t="e">
        <f>G13=#REF!</f>
        <v>#REF!</v>
      </c>
      <c r="V13" s="4" t="e">
        <f>H13=#REF!</f>
        <v>#REF!</v>
      </c>
      <c r="W13" s="4" t="e">
        <f>I13=#REF!</f>
        <v>#REF!</v>
      </c>
      <c r="X13" s="4" t="b">
        <f>J13=Sheet!G84</f>
        <v>1</v>
      </c>
    </row>
    <row r="14" spans="1:24" s="4" customFormat="1" ht="59.25" customHeight="1" x14ac:dyDescent="0.25">
      <c r="A14" s="209" t="s">
        <v>373</v>
      </c>
      <c r="B14" s="210" t="s">
        <v>383</v>
      </c>
      <c r="C14" s="210" t="s">
        <v>641</v>
      </c>
      <c r="D14" s="335"/>
      <c r="E14" s="270" t="s">
        <v>391</v>
      </c>
      <c r="F14" s="270" t="s">
        <v>419</v>
      </c>
      <c r="G14" s="211" t="s">
        <v>65</v>
      </c>
      <c r="H14" s="270" t="s">
        <v>447</v>
      </c>
      <c r="I14" s="212">
        <v>202332.58</v>
      </c>
      <c r="J14" s="212">
        <v>56776.6</v>
      </c>
      <c r="K14" s="212">
        <v>149778</v>
      </c>
      <c r="L14" s="219">
        <f t="shared" si="0"/>
        <v>206554.6</v>
      </c>
      <c r="M14" s="212"/>
      <c r="N14" s="213">
        <f t="shared" si="1"/>
        <v>0</v>
      </c>
      <c r="O14" s="214">
        <f t="shared" si="2"/>
        <v>4222.0200000000186</v>
      </c>
      <c r="P14" s="215">
        <f t="shared" si="3"/>
        <v>2.0866733375317108</v>
      </c>
      <c r="Q14" s="74" t="b">
        <f>A14=[1]FORM.2!A12</f>
        <v>1</v>
      </c>
      <c r="R14" s="4" t="b">
        <f>B14=[1]FORM.2!$B$7</f>
        <v>1</v>
      </c>
      <c r="S14" s="4" t="b">
        <f>E14=[1]FORM.2!D12</f>
        <v>1</v>
      </c>
      <c r="T14" s="4" t="e">
        <f>F14=#REF!</f>
        <v>#REF!</v>
      </c>
      <c r="U14" s="4" t="e">
        <f>G14=#REF!</f>
        <v>#REF!</v>
      </c>
      <c r="V14" s="4" t="e">
        <f>H14=#REF!</f>
        <v>#REF!</v>
      </c>
      <c r="W14" s="4" t="e">
        <f>I14=#REF!</f>
        <v>#REF!</v>
      </c>
      <c r="X14" s="4" t="b">
        <f>J14=Sheet!G94</f>
        <v>1</v>
      </c>
    </row>
    <row r="15" spans="1:24" s="4" customFormat="1" ht="59.25" customHeight="1" x14ac:dyDescent="0.25">
      <c r="A15" s="209" t="s">
        <v>374</v>
      </c>
      <c r="B15" s="210" t="s">
        <v>383</v>
      </c>
      <c r="C15" s="210" t="s">
        <v>641</v>
      </c>
      <c r="D15" s="335"/>
      <c r="E15" s="270" t="s">
        <v>392</v>
      </c>
      <c r="F15" s="270" t="s">
        <v>420</v>
      </c>
      <c r="G15" s="211" t="s">
        <v>62</v>
      </c>
      <c r="H15" s="270" t="s">
        <v>448</v>
      </c>
      <c r="I15" s="212">
        <v>124062.99</v>
      </c>
      <c r="J15" s="212">
        <v>43803.57</v>
      </c>
      <c r="K15" s="212">
        <v>99319</v>
      </c>
      <c r="L15" s="219">
        <f t="shared" si="0"/>
        <v>143122.57</v>
      </c>
      <c r="M15" s="212"/>
      <c r="N15" s="213">
        <f t="shared" si="1"/>
        <v>0</v>
      </c>
      <c r="O15" s="214">
        <f t="shared" si="2"/>
        <v>19059.580000000002</v>
      </c>
      <c r="P15" s="215">
        <f t="shared" si="3"/>
        <v>15.362824964963364</v>
      </c>
      <c r="Q15" s="74" t="b">
        <f>A15=[1]FORM.2!A13</f>
        <v>1</v>
      </c>
      <c r="R15" s="4" t="b">
        <f>B15=[1]FORM.2!$B$7</f>
        <v>1</v>
      </c>
      <c r="S15" s="4" t="b">
        <f>E15=[1]FORM.2!D13</f>
        <v>1</v>
      </c>
      <c r="T15" s="4" t="e">
        <f>F15=#REF!</f>
        <v>#REF!</v>
      </c>
      <c r="U15" s="4" t="e">
        <f>G15=#REF!</f>
        <v>#REF!</v>
      </c>
      <c r="V15" s="4" t="e">
        <f>H15=#REF!</f>
        <v>#REF!</v>
      </c>
      <c r="W15" s="4" t="e">
        <f>I15=#REF!</f>
        <v>#REF!</v>
      </c>
      <c r="X15" s="4" t="b">
        <f>J15=Sheet!G22</f>
        <v>1</v>
      </c>
    </row>
    <row r="16" spans="1:24" s="4" customFormat="1" ht="59.25" customHeight="1" x14ac:dyDescent="0.25">
      <c r="A16" s="209" t="s">
        <v>375</v>
      </c>
      <c r="B16" s="210" t="s">
        <v>383</v>
      </c>
      <c r="C16" s="210" t="s">
        <v>641</v>
      </c>
      <c r="D16" s="335"/>
      <c r="E16" s="270" t="s">
        <v>393</v>
      </c>
      <c r="F16" s="270" t="s">
        <v>421</v>
      </c>
      <c r="G16" s="211" t="s">
        <v>65</v>
      </c>
      <c r="H16" s="270" t="s">
        <v>449</v>
      </c>
      <c r="I16" s="212">
        <v>6000</v>
      </c>
      <c r="J16" s="212">
        <v>2100</v>
      </c>
      <c r="K16" s="212">
        <v>8900</v>
      </c>
      <c r="L16" s="219">
        <f t="shared" si="0"/>
        <v>11000</v>
      </c>
      <c r="M16" s="212"/>
      <c r="N16" s="213">
        <f t="shared" si="1"/>
        <v>0</v>
      </c>
      <c r="O16" s="214">
        <f t="shared" si="2"/>
        <v>5000</v>
      </c>
      <c r="P16" s="215">
        <f t="shared" si="3"/>
        <v>83.333333333333343</v>
      </c>
      <c r="Q16" s="74" t="b">
        <f>A16=[1]FORM.2!A14</f>
        <v>1</v>
      </c>
      <c r="R16" s="4" t="b">
        <f>B16=[1]FORM.2!$B$7</f>
        <v>1</v>
      </c>
      <c r="S16" s="4" t="b">
        <f>E16=[1]FORM.2!D14</f>
        <v>1</v>
      </c>
      <c r="T16" s="4" t="e">
        <f>F16=#REF!</f>
        <v>#REF!</v>
      </c>
      <c r="U16" s="4" t="e">
        <f>G16=#REF!</f>
        <v>#REF!</v>
      </c>
      <c r="V16" s="4" t="e">
        <f>H16=#REF!</f>
        <v>#REF!</v>
      </c>
      <c r="W16" s="4" t="e">
        <f>I16=#REF!</f>
        <v>#REF!</v>
      </c>
      <c r="X16" s="4" t="b">
        <f>J16=Sheet!G34</f>
        <v>1</v>
      </c>
    </row>
    <row r="17" spans="1:24" s="4" customFormat="1" ht="105.75" customHeight="1" x14ac:dyDescent="0.25">
      <c r="A17" s="209" t="s">
        <v>376</v>
      </c>
      <c r="B17" s="210" t="s">
        <v>383</v>
      </c>
      <c r="C17" s="210" t="s">
        <v>641</v>
      </c>
      <c r="D17" s="335"/>
      <c r="E17" s="270" t="s">
        <v>394</v>
      </c>
      <c r="F17" s="270" t="s">
        <v>422</v>
      </c>
      <c r="G17" s="211" t="s">
        <v>53</v>
      </c>
      <c r="H17" s="270" t="s">
        <v>450</v>
      </c>
      <c r="I17" s="212">
        <v>20000</v>
      </c>
      <c r="J17" s="212">
        <v>16579.09</v>
      </c>
      <c r="K17" s="212">
        <v>13421</v>
      </c>
      <c r="L17" s="219">
        <f t="shared" si="0"/>
        <v>30000.09</v>
      </c>
      <c r="M17" s="212"/>
      <c r="N17" s="213">
        <f t="shared" si="1"/>
        <v>0</v>
      </c>
      <c r="O17" s="214">
        <f t="shared" si="2"/>
        <v>10000.09</v>
      </c>
      <c r="P17" s="215">
        <f t="shared" si="3"/>
        <v>50.000449999999994</v>
      </c>
      <c r="Q17" s="74" t="b">
        <f>A17=[1]FORM.2!A15</f>
        <v>1</v>
      </c>
      <c r="R17" s="4" t="b">
        <f>B17=[1]FORM.2!$B$7</f>
        <v>1</v>
      </c>
      <c r="S17" s="4" t="b">
        <f>E17=[1]FORM.2!D15</f>
        <v>1</v>
      </c>
      <c r="T17" s="4" t="e">
        <f>F17=#REF!</f>
        <v>#REF!</v>
      </c>
      <c r="U17" s="4" t="e">
        <f>G17=#REF!</f>
        <v>#REF!</v>
      </c>
      <c r="V17" s="4" t="e">
        <f>H17=#REF!</f>
        <v>#REF!</v>
      </c>
      <c r="W17" s="4" t="e">
        <f>I17=#REF!</f>
        <v>#REF!</v>
      </c>
      <c r="X17" s="4" t="b">
        <f>J17=Sheet!G26</f>
        <v>1</v>
      </c>
    </row>
    <row r="18" spans="1:24" s="4" customFormat="1" ht="59.25" customHeight="1" x14ac:dyDescent="0.25">
      <c r="A18" s="209" t="s">
        <v>377</v>
      </c>
      <c r="B18" s="210" t="s">
        <v>383</v>
      </c>
      <c r="C18" s="210" t="s">
        <v>641</v>
      </c>
      <c r="D18" s="335"/>
      <c r="E18" s="270" t="s">
        <v>395</v>
      </c>
      <c r="F18" s="270" t="s">
        <v>423</v>
      </c>
      <c r="G18" s="211" t="s">
        <v>64</v>
      </c>
      <c r="H18" s="270" t="s">
        <v>451</v>
      </c>
      <c r="I18" s="212">
        <v>18000</v>
      </c>
      <c r="J18" s="212">
        <v>6035.87</v>
      </c>
      <c r="K18" s="212">
        <v>21964</v>
      </c>
      <c r="L18" s="219">
        <f t="shared" si="0"/>
        <v>27999.87</v>
      </c>
      <c r="M18" s="212"/>
      <c r="N18" s="213">
        <f t="shared" si="1"/>
        <v>0</v>
      </c>
      <c r="O18" s="214">
        <f t="shared" si="2"/>
        <v>9999.869999999999</v>
      </c>
      <c r="P18" s="215">
        <f t="shared" si="3"/>
        <v>55.554833333333335</v>
      </c>
      <c r="Q18" s="74" t="b">
        <f>A18=[1]FORM.2!A16</f>
        <v>1</v>
      </c>
      <c r="R18" s="4" t="b">
        <f>B18=[1]FORM.2!$B$7</f>
        <v>1</v>
      </c>
      <c r="S18" s="4" t="b">
        <f>E18=[1]FORM.2!D16</f>
        <v>1</v>
      </c>
      <c r="T18" s="4" t="e">
        <f>F18=#REF!</f>
        <v>#REF!</v>
      </c>
      <c r="U18" s="4" t="e">
        <f>G18=#REF!</f>
        <v>#REF!</v>
      </c>
      <c r="V18" s="4" t="e">
        <f>H18=#REF!</f>
        <v>#REF!</v>
      </c>
      <c r="W18" s="4" t="e">
        <f>I18=#REF!</f>
        <v>#REF!</v>
      </c>
      <c r="X18" s="318" t="b">
        <f>J18=Sheet!G30</f>
        <v>1</v>
      </c>
    </row>
    <row r="19" spans="1:24" s="4" customFormat="1" ht="59.25" customHeight="1" x14ac:dyDescent="0.25">
      <c r="A19" s="209" t="s">
        <v>378</v>
      </c>
      <c r="B19" s="210" t="s">
        <v>383</v>
      </c>
      <c r="C19" s="210" t="s">
        <v>641</v>
      </c>
      <c r="D19" s="335"/>
      <c r="E19" s="270" t="s">
        <v>396</v>
      </c>
      <c r="F19" s="270" t="s">
        <v>424</v>
      </c>
      <c r="G19" s="211" t="s">
        <v>56</v>
      </c>
      <c r="H19" s="270" t="s">
        <v>452</v>
      </c>
      <c r="I19" s="212">
        <v>28500</v>
      </c>
      <c r="J19" s="212">
        <v>12138.49</v>
      </c>
      <c r="K19" s="212">
        <v>21362</v>
      </c>
      <c r="L19" s="219">
        <f t="shared" si="0"/>
        <v>33500.49</v>
      </c>
      <c r="M19" s="212"/>
      <c r="N19" s="213">
        <f t="shared" si="1"/>
        <v>0</v>
      </c>
      <c r="O19" s="214">
        <f t="shared" si="2"/>
        <v>5000.489999999998</v>
      </c>
      <c r="P19" s="215">
        <f t="shared" si="3"/>
        <v>17.545578947368416</v>
      </c>
      <c r="Q19" s="74" t="b">
        <f>A19=[1]FORM.2!A17</f>
        <v>1</v>
      </c>
      <c r="R19" s="4" t="b">
        <f>B19=[1]FORM.2!$B$7</f>
        <v>1</v>
      </c>
      <c r="S19" s="4" t="b">
        <f>E19=[1]FORM.2!D17</f>
        <v>1</v>
      </c>
      <c r="T19" s="4" t="e">
        <f>F19=#REF!</f>
        <v>#REF!</v>
      </c>
      <c r="U19" s="4" t="e">
        <f>G19=#REF!</f>
        <v>#REF!</v>
      </c>
      <c r="V19" s="4" t="e">
        <f>H19=#REF!</f>
        <v>#REF!</v>
      </c>
      <c r="W19" s="4" t="e">
        <f>I19=#REF!</f>
        <v>#REF!</v>
      </c>
      <c r="X19" s="4" t="b">
        <f>J19=Sheet!G18</f>
        <v>1</v>
      </c>
    </row>
    <row r="20" spans="1:24" s="4" customFormat="1" ht="59.25" customHeight="1" x14ac:dyDescent="0.25">
      <c r="A20" s="209" t="s">
        <v>379</v>
      </c>
      <c r="B20" s="210" t="s">
        <v>383</v>
      </c>
      <c r="C20" s="210" t="s">
        <v>641</v>
      </c>
      <c r="D20" s="335"/>
      <c r="E20" s="270" t="s">
        <v>397</v>
      </c>
      <c r="F20" s="270" t="s">
        <v>425</v>
      </c>
      <c r="G20" s="211" t="s">
        <v>73</v>
      </c>
      <c r="H20" s="270" t="s">
        <v>453</v>
      </c>
      <c r="I20" s="212">
        <v>80000</v>
      </c>
      <c r="J20" s="212">
        <v>37755.370000000003</v>
      </c>
      <c r="K20" s="212">
        <v>52245</v>
      </c>
      <c r="L20" s="219">
        <f t="shared" si="0"/>
        <v>90000.37</v>
      </c>
      <c r="M20" s="212"/>
      <c r="N20" s="213">
        <f t="shared" si="1"/>
        <v>0</v>
      </c>
      <c r="O20" s="214">
        <f t="shared" si="2"/>
        <v>10000.369999999995</v>
      </c>
      <c r="P20" s="215">
        <f t="shared" si="3"/>
        <v>12.500462499999996</v>
      </c>
      <c r="Q20" s="74" t="b">
        <f>A20=[1]FORM.2!A18</f>
        <v>1</v>
      </c>
      <c r="R20" s="4" t="b">
        <f>B20=[1]FORM.2!$B$7</f>
        <v>1</v>
      </c>
      <c r="S20" s="4" t="b">
        <f>E20=[1]FORM.2!D18</f>
        <v>1</v>
      </c>
      <c r="T20" s="4" t="e">
        <f>F20=#REF!</f>
        <v>#REF!</v>
      </c>
      <c r="U20" s="4" t="e">
        <f>G20=#REF!</f>
        <v>#REF!</v>
      </c>
      <c r="V20" s="4" t="e">
        <f>H20=#REF!</f>
        <v>#REF!</v>
      </c>
      <c r="W20" s="4" t="e">
        <f>I20=#REF!</f>
        <v>#REF!</v>
      </c>
      <c r="X20" s="4" t="b">
        <f>J20=Sheet!G70</f>
        <v>1</v>
      </c>
    </row>
    <row r="21" spans="1:24" s="4" customFormat="1" ht="59.25" customHeight="1" x14ac:dyDescent="0.25">
      <c r="A21" s="209" t="s">
        <v>368</v>
      </c>
      <c r="B21" s="210" t="s">
        <v>384</v>
      </c>
      <c r="C21" s="210" t="s">
        <v>385</v>
      </c>
      <c r="D21" s="210"/>
      <c r="E21" s="270" t="s">
        <v>398</v>
      </c>
      <c r="F21" s="270" t="s">
        <v>426</v>
      </c>
      <c r="G21" s="211" t="s">
        <v>61</v>
      </c>
      <c r="H21" s="270" t="s">
        <v>454</v>
      </c>
      <c r="I21" s="212">
        <v>100000</v>
      </c>
      <c r="J21" s="212">
        <v>0</v>
      </c>
      <c r="K21" s="212">
        <v>100000</v>
      </c>
      <c r="L21" s="219">
        <f t="shared" si="0"/>
        <v>100000</v>
      </c>
      <c r="M21" s="212"/>
      <c r="N21" s="213">
        <f t="shared" si="1"/>
        <v>0</v>
      </c>
      <c r="O21" s="214">
        <f>L21-I21</f>
        <v>0</v>
      </c>
      <c r="P21" s="215">
        <f>IFERROR(O21/I21*100,)</f>
        <v>0</v>
      </c>
      <c r="Q21" s="74" t="b">
        <f>A21=[1]FORM.2!A19</f>
        <v>1</v>
      </c>
      <c r="R21" s="4" t="b">
        <f>B21=[1]FORM.2!$B$7</f>
        <v>0</v>
      </c>
      <c r="S21" s="4" t="b">
        <f>E21=[1]FORM.2!D19</f>
        <v>1</v>
      </c>
      <c r="T21" s="4" t="e">
        <f>F21=#REF!</f>
        <v>#REF!</v>
      </c>
      <c r="U21" s="4" t="e">
        <f>G21=#REF!</f>
        <v>#REF!</v>
      </c>
      <c r="V21" s="4" t="e">
        <f>H21=#REF!</f>
        <v>#REF!</v>
      </c>
      <c r="W21" s="4" t="e">
        <f>I21=#REF!</f>
        <v>#REF!</v>
      </c>
    </row>
    <row r="22" spans="1:24" s="4" customFormat="1" ht="59.25" customHeight="1" x14ac:dyDescent="0.25">
      <c r="A22" s="209" t="s">
        <v>369</v>
      </c>
      <c r="B22" s="210" t="s">
        <v>384</v>
      </c>
      <c r="C22" s="210" t="s">
        <v>641</v>
      </c>
      <c r="D22" s="335"/>
      <c r="E22" s="270" t="s">
        <v>399</v>
      </c>
      <c r="F22" s="270" t="s">
        <v>427</v>
      </c>
      <c r="G22" s="211" t="s">
        <v>71</v>
      </c>
      <c r="H22" s="270" t="s">
        <v>455</v>
      </c>
      <c r="I22" s="212">
        <v>137299</v>
      </c>
      <c r="J22" s="212">
        <v>160</v>
      </c>
      <c r="K22" s="212">
        <v>149840</v>
      </c>
      <c r="L22" s="219">
        <f t="shared" si="0"/>
        <v>150000</v>
      </c>
      <c r="M22" s="212"/>
      <c r="N22" s="213">
        <f t="shared" si="1"/>
        <v>0</v>
      </c>
      <c r="O22" s="214">
        <f>L22-I22</f>
        <v>12701</v>
      </c>
      <c r="P22" s="215">
        <f t="shared" si="3"/>
        <v>9.2506136242798558</v>
      </c>
      <c r="Q22" s="74" t="b">
        <f>A22=[1]FORM.2!A20</f>
        <v>1</v>
      </c>
      <c r="R22" s="4" t="b">
        <f>B22=[1]FORM.2!$B$7</f>
        <v>0</v>
      </c>
      <c r="S22" s="4" t="b">
        <f>E22=[1]FORM.2!D20</f>
        <v>1</v>
      </c>
      <c r="T22" s="4" t="e">
        <f>F22=#REF!</f>
        <v>#REF!</v>
      </c>
      <c r="U22" s="4" t="e">
        <f>G22=#REF!</f>
        <v>#REF!</v>
      </c>
      <c r="V22" s="4" t="e">
        <f>H22=#REF!</f>
        <v>#REF!</v>
      </c>
      <c r="W22" s="4" t="e">
        <f>I22=#REF!</f>
        <v>#REF!</v>
      </c>
      <c r="X22" s="4" t="b">
        <f>J22=Sheet!G62</f>
        <v>1</v>
      </c>
    </row>
    <row r="23" spans="1:24" s="4" customFormat="1" ht="59.25" customHeight="1" x14ac:dyDescent="0.25">
      <c r="A23" s="209" t="s">
        <v>368</v>
      </c>
      <c r="B23" s="210" t="s">
        <v>384</v>
      </c>
      <c r="C23" s="210" t="s">
        <v>385</v>
      </c>
      <c r="D23" s="210"/>
      <c r="E23" s="270" t="s">
        <v>400</v>
      </c>
      <c r="F23" s="270" t="s">
        <v>428</v>
      </c>
      <c r="G23" s="211" t="s">
        <v>55</v>
      </c>
      <c r="H23" s="270" t="s">
        <v>456</v>
      </c>
      <c r="I23" s="212">
        <v>50000</v>
      </c>
      <c r="J23" s="212">
        <v>0</v>
      </c>
      <c r="K23" s="212">
        <v>50000</v>
      </c>
      <c r="L23" s="219">
        <f t="shared" si="0"/>
        <v>50000</v>
      </c>
      <c r="M23" s="212"/>
      <c r="N23" s="213">
        <f t="shared" si="1"/>
        <v>0</v>
      </c>
      <c r="O23" s="214">
        <f>L23-I23</f>
        <v>0</v>
      </c>
      <c r="P23" s="215">
        <f>IFERROR(O23/I23*100,)</f>
        <v>0</v>
      </c>
      <c r="Q23" s="74" t="b">
        <f>A23=[1]FORM.2!A21</f>
        <v>1</v>
      </c>
      <c r="R23" s="4" t="b">
        <f>B23=[1]FORM.2!$B$7</f>
        <v>0</v>
      </c>
      <c r="S23" s="4" t="b">
        <f>E23=[1]FORM.2!D21</f>
        <v>1</v>
      </c>
      <c r="T23" s="4" t="e">
        <f>F23=#REF!</f>
        <v>#REF!</v>
      </c>
      <c r="U23" s="4" t="e">
        <f>G23=#REF!</f>
        <v>#REF!</v>
      </c>
      <c r="V23" s="4" t="e">
        <f>H23=#REF!</f>
        <v>#REF!</v>
      </c>
      <c r="W23" s="4" t="e">
        <f>I23=#REF!</f>
        <v>#REF!</v>
      </c>
    </row>
    <row r="24" spans="1:24" s="309" customFormat="1" ht="59.25" customHeight="1" x14ac:dyDescent="0.25">
      <c r="A24" s="209" t="s">
        <v>372</v>
      </c>
      <c r="B24" s="210" t="s">
        <v>383</v>
      </c>
      <c r="C24" s="210" t="s">
        <v>641</v>
      </c>
      <c r="D24" s="335"/>
      <c r="E24" s="270" t="s">
        <v>401</v>
      </c>
      <c r="F24" s="270" t="s">
        <v>429</v>
      </c>
      <c r="G24" s="211" t="s">
        <v>64</v>
      </c>
      <c r="H24" s="270" t="s">
        <v>457</v>
      </c>
      <c r="I24" s="212">
        <v>62980</v>
      </c>
      <c r="J24" s="212">
        <v>26241.65</v>
      </c>
      <c r="K24" s="212">
        <v>26242</v>
      </c>
      <c r="L24" s="219">
        <f t="shared" si="0"/>
        <v>52483.65</v>
      </c>
      <c r="M24" s="212"/>
      <c r="N24" s="308">
        <f t="shared" si="1"/>
        <v>0</v>
      </c>
      <c r="O24" s="214">
        <f t="shared" ref="O24:O25" si="4">L24-I24</f>
        <v>-10496.349999999999</v>
      </c>
      <c r="P24" s="215">
        <f t="shared" si="3"/>
        <v>-16.666163861543346</v>
      </c>
      <c r="Q24" s="74" t="b">
        <f>A24=[1]FORM.2!A22</f>
        <v>1</v>
      </c>
      <c r="R24" s="4" t="b">
        <f>B24=[1]FORM.2!$B$7</f>
        <v>1</v>
      </c>
      <c r="S24" s="4" t="b">
        <f>E24=[1]FORM.2!D22</f>
        <v>1</v>
      </c>
      <c r="T24" s="309" t="e">
        <f>F24=#REF!</f>
        <v>#REF!</v>
      </c>
      <c r="U24" s="309" t="e">
        <f>G24=#REF!</f>
        <v>#REF!</v>
      </c>
      <c r="V24" s="309" t="e">
        <f>H24=#REF!</f>
        <v>#REF!</v>
      </c>
      <c r="W24" s="309" t="e">
        <f>I24=#REF!</f>
        <v>#REF!</v>
      </c>
      <c r="X24" s="309" t="b">
        <f>J24=Sheet!G86</f>
        <v>1</v>
      </c>
    </row>
    <row r="25" spans="1:24" s="4" customFormat="1" ht="59.25" customHeight="1" x14ac:dyDescent="0.25">
      <c r="A25" s="209" t="s">
        <v>369</v>
      </c>
      <c r="B25" s="210" t="s">
        <v>384</v>
      </c>
      <c r="C25" s="210" t="s">
        <v>641</v>
      </c>
      <c r="D25" s="335"/>
      <c r="E25" s="270" t="s">
        <v>402</v>
      </c>
      <c r="F25" s="270" t="s">
        <v>430</v>
      </c>
      <c r="G25" s="211" t="s">
        <v>61</v>
      </c>
      <c r="H25" s="270" t="s">
        <v>458</v>
      </c>
      <c r="I25" s="212">
        <v>75500</v>
      </c>
      <c r="J25" s="212">
        <v>363.44</v>
      </c>
      <c r="K25" s="212">
        <v>100137</v>
      </c>
      <c r="L25" s="219">
        <f t="shared" si="0"/>
        <v>100500.44</v>
      </c>
      <c r="M25" s="212"/>
      <c r="N25" s="213">
        <f t="shared" si="1"/>
        <v>0</v>
      </c>
      <c r="O25" s="214">
        <f t="shared" si="4"/>
        <v>25000.440000000002</v>
      </c>
      <c r="P25" s="215">
        <f t="shared" si="3"/>
        <v>33.113165562913913</v>
      </c>
      <c r="Q25" s="74" t="b">
        <f>A25=[1]FORM.2!A23</f>
        <v>1</v>
      </c>
      <c r="R25" s="4" t="b">
        <f>B25=[1]FORM.2!$B$7</f>
        <v>0</v>
      </c>
      <c r="S25" s="4" t="e">
        <f>E25=[1]FORM.2!#REF!</f>
        <v>#REF!</v>
      </c>
      <c r="T25" s="4" t="e">
        <f>F25=#REF!</f>
        <v>#REF!</v>
      </c>
      <c r="U25" s="4" t="e">
        <f>G25=#REF!</f>
        <v>#REF!</v>
      </c>
      <c r="V25" s="4" t="e">
        <f>H25=#REF!</f>
        <v>#REF!</v>
      </c>
      <c r="W25" s="4" t="e">
        <f>I25=#REF!</f>
        <v>#REF!</v>
      </c>
      <c r="X25" s="4" t="b">
        <f>J25=Sheet!G64</f>
        <v>1</v>
      </c>
    </row>
    <row r="26" spans="1:24" s="4" customFormat="1" ht="59.25" customHeight="1" x14ac:dyDescent="0.25">
      <c r="A26" s="209" t="s">
        <v>369</v>
      </c>
      <c r="B26" s="210" t="s">
        <v>383</v>
      </c>
      <c r="C26" s="210" t="s">
        <v>385</v>
      </c>
      <c r="D26" s="210"/>
      <c r="E26" s="270" t="s">
        <v>403</v>
      </c>
      <c r="F26" s="270" t="s">
        <v>431</v>
      </c>
      <c r="G26" s="211" t="s">
        <v>66</v>
      </c>
      <c r="H26" s="270" t="s">
        <v>459</v>
      </c>
      <c r="I26" s="212">
        <v>31000</v>
      </c>
      <c r="J26" s="212">
        <v>0</v>
      </c>
      <c r="K26" s="212">
        <v>31000</v>
      </c>
      <c r="L26" s="219">
        <f t="shared" si="0"/>
        <v>31000</v>
      </c>
      <c r="M26" s="212"/>
      <c r="N26" s="213">
        <f t="shared" si="1"/>
        <v>0</v>
      </c>
      <c r="O26" s="214">
        <f t="shared" ref="O26:O36" si="5">L26-I26</f>
        <v>0</v>
      </c>
      <c r="P26" s="215">
        <f t="shared" si="3"/>
        <v>0</v>
      </c>
      <c r="Q26" s="74" t="b">
        <f>A26=[1]FORM.2!A24</f>
        <v>1</v>
      </c>
      <c r="R26" s="4" t="b">
        <f>B26=[1]FORM.2!$B$7</f>
        <v>1</v>
      </c>
      <c r="S26" s="4" t="b">
        <f>E26=[1]FORM.2!D23</f>
        <v>0</v>
      </c>
      <c r="T26" s="4" t="e">
        <f>F26=#REF!</f>
        <v>#REF!</v>
      </c>
      <c r="U26" s="4" t="e">
        <f>G26=#REF!</f>
        <v>#REF!</v>
      </c>
      <c r="V26" s="4" t="e">
        <f>H26=#REF!</f>
        <v>#REF!</v>
      </c>
      <c r="W26" s="4" t="e">
        <f>I26=#REF!</f>
        <v>#REF!</v>
      </c>
    </row>
    <row r="27" spans="1:24" s="4" customFormat="1" ht="59.25" customHeight="1" x14ac:dyDescent="0.25">
      <c r="A27" s="209" t="s">
        <v>380</v>
      </c>
      <c r="B27" s="210" t="s">
        <v>384</v>
      </c>
      <c r="C27" s="210" t="s">
        <v>385</v>
      </c>
      <c r="D27" s="210"/>
      <c r="E27" s="270" t="s">
        <v>404</v>
      </c>
      <c r="F27" s="270" t="s">
        <v>432</v>
      </c>
      <c r="G27" s="211" t="s">
        <v>63</v>
      </c>
      <c r="H27" s="270" t="s">
        <v>460</v>
      </c>
      <c r="I27" s="212">
        <v>60000</v>
      </c>
      <c r="J27" s="212">
        <v>0</v>
      </c>
      <c r="K27" s="212">
        <v>60000</v>
      </c>
      <c r="L27" s="219">
        <f t="shared" si="0"/>
        <v>60000</v>
      </c>
      <c r="M27" s="212"/>
      <c r="N27" s="213">
        <f t="shared" si="1"/>
        <v>0</v>
      </c>
      <c r="O27" s="214">
        <f t="shared" si="5"/>
        <v>0</v>
      </c>
      <c r="P27" s="215">
        <f t="shared" si="3"/>
        <v>0</v>
      </c>
      <c r="Q27" s="74" t="b">
        <f>A27=[1]FORM.2!A25</f>
        <v>1</v>
      </c>
      <c r="R27" s="4" t="b">
        <f>B27=[1]FORM.2!$B$7</f>
        <v>0</v>
      </c>
      <c r="S27" s="4" t="b">
        <f>E27=[1]FORM.2!D24</f>
        <v>0</v>
      </c>
      <c r="T27" s="4" t="e">
        <f>F27=#REF!</f>
        <v>#REF!</v>
      </c>
      <c r="U27" s="4" t="e">
        <f>G27=#REF!</f>
        <v>#REF!</v>
      </c>
      <c r="V27" s="4" t="e">
        <f>H27=#REF!</f>
        <v>#REF!</v>
      </c>
      <c r="W27" s="4" t="e">
        <f>I27=#REF!</f>
        <v>#REF!</v>
      </c>
    </row>
    <row r="28" spans="1:24" s="4" customFormat="1" ht="59.25" customHeight="1" x14ac:dyDescent="0.25">
      <c r="A28" s="209" t="s">
        <v>381</v>
      </c>
      <c r="B28" s="210" t="s">
        <v>383</v>
      </c>
      <c r="C28" s="210" t="s">
        <v>641</v>
      </c>
      <c r="D28" s="210"/>
      <c r="E28" s="270" t="s">
        <v>405</v>
      </c>
      <c r="F28" s="270" t="s">
        <v>433</v>
      </c>
      <c r="G28" s="211" t="s">
        <v>71</v>
      </c>
      <c r="H28" s="270" t="s">
        <v>461</v>
      </c>
      <c r="I28" s="212">
        <v>284820.61</v>
      </c>
      <c r="J28" s="212">
        <v>99076.92</v>
      </c>
      <c r="K28" s="212">
        <v>198466</v>
      </c>
      <c r="L28" s="219">
        <f t="shared" si="0"/>
        <v>297542.92</v>
      </c>
      <c r="M28" s="212"/>
      <c r="N28" s="213">
        <f t="shared" si="1"/>
        <v>0</v>
      </c>
      <c r="O28" s="214">
        <f t="shared" si="5"/>
        <v>12722.309999999998</v>
      </c>
      <c r="P28" s="215">
        <f t="shared" si="3"/>
        <v>4.4667799847770837</v>
      </c>
      <c r="Q28" s="74" t="b">
        <f>A28=[1]FORM.2!A26</f>
        <v>1</v>
      </c>
      <c r="R28" s="4" t="b">
        <f>B28=[1]FORM.2!$B$7</f>
        <v>1</v>
      </c>
      <c r="S28" s="4" t="b">
        <f>E28=[1]FORM.2!D25</f>
        <v>0</v>
      </c>
      <c r="T28" s="4" t="e">
        <f>F28=#REF!</f>
        <v>#REF!</v>
      </c>
      <c r="U28" s="4" t="e">
        <f>G28=#REF!</f>
        <v>#REF!</v>
      </c>
      <c r="V28" s="4" t="e">
        <f>H28=#REF!</f>
        <v>#REF!</v>
      </c>
      <c r="W28" s="4" t="e">
        <f>I28=#REF!</f>
        <v>#REF!</v>
      </c>
      <c r="X28" s="4" t="b">
        <f>J28=Sheet!G102</f>
        <v>1</v>
      </c>
    </row>
    <row r="29" spans="1:24" s="4" customFormat="1" ht="59.25" customHeight="1" x14ac:dyDescent="0.25">
      <c r="A29" s="209" t="s">
        <v>368</v>
      </c>
      <c r="B29" s="210" t="s">
        <v>384</v>
      </c>
      <c r="C29" s="210" t="s">
        <v>641</v>
      </c>
      <c r="D29" s="210"/>
      <c r="E29" s="270" t="s">
        <v>406</v>
      </c>
      <c r="F29" s="270" t="s">
        <v>434</v>
      </c>
      <c r="G29" s="211" t="s">
        <v>68</v>
      </c>
      <c r="H29" s="270" t="s">
        <v>462</v>
      </c>
      <c r="I29" s="212">
        <v>500000</v>
      </c>
      <c r="J29" s="212">
        <v>0</v>
      </c>
      <c r="K29" s="212">
        <v>200000</v>
      </c>
      <c r="L29" s="219">
        <f t="shared" si="0"/>
        <v>200000</v>
      </c>
      <c r="M29" s="212"/>
      <c r="N29" s="213">
        <f t="shared" si="1"/>
        <v>0</v>
      </c>
      <c r="O29" s="214">
        <f t="shared" si="5"/>
        <v>-300000</v>
      </c>
      <c r="P29" s="215">
        <f t="shared" si="3"/>
        <v>-60</v>
      </c>
      <c r="Q29" s="74" t="b">
        <f>A29=[1]FORM.2!A27</f>
        <v>1</v>
      </c>
      <c r="R29" s="4" t="b">
        <f>B29=[1]FORM.2!$B$7</f>
        <v>0</v>
      </c>
      <c r="S29" s="4" t="b">
        <f>E29=[1]FORM.2!D26</f>
        <v>0</v>
      </c>
      <c r="T29" s="4" t="e">
        <f>F29=#REF!</f>
        <v>#REF!</v>
      </c>
      <c r="U29" s="4" t="e">
        <f>G29=#REF!</f>
        <v>#REF!</v>
      </c>
      <c r="V29" s="4" t="e">
        <f>H29=#REF!</f>
        <v>#REF!</v>
      </c>
      <c r="W29" s="4" t="e">
        <f>I29=#REF!</f>
        <v>#REF!</v>
      </c>
    </row>
    <row r="30" spans="1:24" s="4" customFormat="1" ht="72.75" customHeight="1" x14ac:dyDescent="0.25">
      <c r="A30" s="209" t="s">
        <v>372</v>
      </c>
      <c r="B30" s="210" t="s">
        <v>384</v>
      </c>
      <c r="C30" s="210" t="s">
        <v>385</v>
      </c>
      <c r="D30" s="210"/>
      <c r="E30" s="270" t="s">
        <v>407</v>
      </c>
      <c r="F30" s="270" t="s">
        <v>435</v>
      </c>
      <c r="G30" s="211" t="s">
        <v>68</v>
      </c>
      <c r="H30" s="270" t="s">
        <v>463</v>
      </c>
      <c r="I30" s="212">
        <v>60000</v>
      </c>
      <c r="J30" s="212">
        <v>0</v>
      </c>
      <c r="K30" s="212">
        <v>60000</v>
      </c>
      <c r="L30" s="219">
        <f t="shared" si="0"/>
        <v>60000</v>
      </c>
      <c r="M30" s="212"/>
      <c r="N30" s="213">
        <f t="shared" si="1"/>
        <v>0</v>
      </c>
      <c r="O30" s="214">
        <f t="shared" si="5"/>
        <v>0</v>
      </c>
      <c r="P30" s="215">
        <f t="shared" si="3"/>
        <v>0</v>
      </c>
      <c r="Q30" s="74" t="b">
        <f>A30=[1]FORM.2!A28</f>
        <v>1</v>
      </c>
      <c r="R30" s="4" t="b">
        <f>B30=[1]FORM.2!$B$7</f>
        <v>0</v>
      </c>
      <c r="S30" s="4" t="b">
        <f>E30=[1]FORM.2!D27</f>
        <v>0</v>
      </c>
      <c r="T30" s="4" t="e">
        <f>F30=#REF!</f>
        <v>#REF!</v>
      </c>
      <c r="U30" s="4" t="e">
        <f>G30=#REF!</f>
        <v>#REF!</v>
      </c>
      <c r="V30" s="4" t="e">
        <f>H30=#REF!</f>
        <v>#REF!</v>
      </c>
      <c r="W30" s="4" t="e">
        <f>I30=#REF!</f>
        <v>#REF!</v>
      </c>
    </row>
    <row r="31" spans="1:24" s="4" customFormat="1" ht="59.25" customHeight="1" x14ac:dyDescent="0.25">
      <c r="A31" s="209" t="s">
        <v>372</v>
      </c>
      <c r="B31" s="210" t="s">
        <v>383</v>
      </c>
      <c r="C31" s="210" t="s">
        <v>385</v>
      </c>
      <c r="D31" s="210"/>
      <c r="E31" s="270" t="s">
        <v>408</v>
      </c>
      <c r="F31" s="270" t="s">
        <v>436</v>
      </c>
      <c r="G31" s="211" t="s">
        <v>53</v>
      </c>
      <c r="H31" s="270" t="s">
        <v>464</v>
      </c>
      <c r="I31" s="272">
        <v>177697</v>
      </c>
      <c r="J31" s="212">
        <v>71513.75</v>
      </c>
      <c r="K31" s="367">
        <v>106183.3</v>
      </c>
      <c r="L31" s="219">
        <f t="shared" si="0"/>
        <v>177697.05</v>
      </c>
      <c r="M31" s="212"/>
      <c r="N31" s="213">
        <f t="shared" si="1"/>
        <v>0</v>
      </c>
      <c r="O31" s="214">
        <f t="shared" si="5"/>
        <v>4.9999999988358468E-2</v>
      </c>
      <c r="P31" s="215">
        <f t="shared" si="3"/>
        <v>2.8137785099556247E-5</v>
      </c>
      <c r="Q31" s="74" t="b">
        <f>A31=[1]FORM.2!A29</f>
        <v>1</v>
      </c>
      <c r="R31" s="4" t="b">
        <f>B31=[1]FORM.2!$B$7</f>
        <v>1</v>
      </c>
      <c r="S31" s="4" t="b">
        <f>E31=[1]FORM.2!D28</f>
        <v>0</v>
      </c>
      <c r="T31" s="4" t="e">
        <f>F31=#REF!</f>
        <v>#REF!</v>
      </c>
      <c r="U31" s="4" t="e">
        <f>G31=#REF!</f>
        <v>#REF!</v>
      </c>
      <c r="V31" s="4" t="e">
        <f>H31=#REF!</f>
        <v>#REF!</v>
      </c>
      <c r="W31" s="4" t="e">
        <f>I31=#REF!</f>
        <v>#REF!</v>
      </c>
      <c r="X31" s="4" t="b">
        <f>J31=Sheet!G90</f>
        <v>1</v>
      </c>
    </row>
    <row r="32" spans="1:24" s="4" customFormat="1" ht="59.25" customHeight="1" x14ac:dyDescent="0.25">
      <c r="A32" s="209" t="s">
        <v>372</v>
      </c>
      <c r="B32" s="210" t="s">
        <v>383</v>
      </c>
      <c r="C32" s="210" t="s">
        <v>385</v>
      </c>
      <c r="D32" s="210"/>
      <c r="E32" s="270" t="s">
        <v>409</v>
      </c>
      <c r="F32" s="270" t="s">
        <v>437</v>
      </c>
      <c r="G32" s="211" t="s">
        <v>71</v>
      </c>
      <c r="H32" s="270" t="s">
        <v>465</v>
      </c>
      <c r="I32" s="272">
        <v>32844</v>
      </c>
      <c r="J32" s="212">
        <v>16211.65</v>
      </c>
      <c r="K32" s="367">
        <v>16632.3</v>
      </c>
      <c r="L32" s="219">
        <f t="shared" si="0"/>
        <v>32843.949999999997</v>
      </c>
      <c r="M32" s="212"/>
      <c r="N32" s="213">
        <f t="shared" si="1"/>
        <v>0</v>
      </c>
      <c r="O32" s="214">
        <f t="shared" si="5"/>
        <v>-5.0000000002910383E-2</v>
      </c>
      <c r="P32" s="215">
        <f t="shared" si="3"/>
        <v>-1.52234806975126E-4</v>
      </c>
      <c r="Q32" s="74" t="b">
        <f>A32=[1]FORM.2!A30</f>
        <v>1</v>
      </c>
      <c r="R32" s="4" t="b">
        <f>B32=[1]FORM.2!$B$7</f>
        <v>1</v>
      </c>
      <c r="S32" s="4" t="b">
        <f>E32=[1]FORM.2!D29</f>
        <v>0</v>
      </c>
      <c r="T32" s="4" t="e">
        <f>F32:F33=#REF!</f>
        <v>#REF!</v>
      </c>
      <c r="U32" s="4" t="e">
        <f>G32=#REF!</f>
        <v>#REF!</v>
      </c>
      <c r="V32" s="4" t="e">
        <f>H32=#REF!</f>
        <v>#REF!</v>
      </c>
      <c r="W32" s="4" t="e">
        <f>I32=#REF!</f>
        <v>#REF!</v>
      </c>
      <c r="X32" s="4" t="b">
        <f>J32=Sheet!G92</f>
        <v>1</v>
      </c>
    </row>
    <row r="33" spans="1:24" s="4" customFormat="1" ht="59.25" customHeight="1" x14ac:dyDescent="0.25">
      <c r="A33" s="209" t="s">
        <v>382</v>
      </c>
      <c r="B33" s="210" t="s">
        <v>383</v>
      </c>
      <c r="C33" s="210" t="s">
        <v>641</v>
      </c>
      <c r="D33" s="210"/>
      <c r="E33" s="270" t="s">
        <v>410</v>
      </c>
      <c r="F33" s="270" t="s">
        <v>438</v>
      </c>
      <c r="G33" s="211" t="s">
        <v>53</v>
      </c>
      <c r="H33" s="270" t="s">
        <v>466</v>
      </c>
      <c r="I33" s="212">
        <v>276514.40999999997</v>
      </c>
      <c r="J33" s="212">
        <v>98491.01</v>
      </c>
      <c r="K33" s="212">
        <v>197418</v>
      </c>
      <c r="L33" s="219">
        <f t="shared" si="0"/>
        <v>295909.01</v>
      </c>
      <c r="M33" s="212"/>
      <c r="N33" s="213">
        <f t="shared" si="1"/>
        <v>0</v>
      </c>
      <c r="O33" s="214">
        <f t="shared" si="5"/>
        <v>19394.600000000035</v>
      </c>
      <c r="P33" s="215">
        <f t="shared" si="3"/>
        <v>7.0139563431793794</v>
      </c>
      <c r="Q33" s="74" t="b">
        <f>A33=[1]FORM.2!A31</f>
        <v>1</v>
      </c>
      <c r="R33" s="4" t="b">
        <f>B33=[1]FORM.2!$B$7</f>
        <v>1</v>
      </c>
      <c r="S33" s="4" t="b">
        <f>E33=[1]FORM.2!D30</f>
        <v>0</v>
      </c>
      <c r="T33" s="4" t="e">
        <f>F33=#REF!</f>
        <v>#REF!</v>
      </c>
      <c r="U33" s="4" t="e">
        <f>G33=#REF!</f>
        <v>#REF!</v>
      </c>
      <c r="V33" s="4" t="e">
        <f>H33=#REF!</f>
        <v>#REF!</v>
      </c>
      <c r="W33" s="4" t="e">
        <f>I33=#REF!</f>
        <v>#REF!</v>
      </c>
      <c r="X33" s="4" t="b">
        <f>J33=Sheet!G98</f>
        <v>1</v>
      </c>
    </row>
    <row r="34" spans="1:24" s="4" customFormat="1" ht="59.25" customHeight="1" x14ac:dyDescent="0.25">
      <c r="A34" s="209" t="s">
        <v>379</v>
      </c>
      <c r="B34" s="210" t="s">
        <v>383</v>
      </c>
      <c r="C34" s="210" t="s">
        <v>761</v>
      </c>
      <c r="D34" s="210"/>
      <c r="E34" s="270" t="s">
        <v>762</v>
      </c>
      <c r="F34" s="360" t="s">
        <v>763</v>
      </c>
      <c r="G34" s="211" t="s">
        <v>64</v>
      </c>
      <c r="H34" s="360" t="s">
        <v>764</v>
      </c>
      <c r="I34" s="212">
        <v>0</v>
      </c>
      <c r="J34" s="212">
        <v>0</v>
      </c>
      <c r="K34" s="367">
        <f>60000-0.82</f>
        <v>59999.18</v>
      </c>
      <c r="L34" s="219">
        <f t="shared" si="0"/>
        <v>59999.18</v>
      </c>
      <c r="M34" s="212"/>
      <c r="N34" s="213">
        <f t="shared" si="1"/>
        <v>0</v>
      </c>
      <c r="O34" s="214">
        <f t="shared" si="5"/>
        <v>59999.18</v>
      </c>
      <c r="P34" s="215">
        <f t="shared" si="3"/>
        <v>0</v>
      </c>
      <c r="Q34" s="74"/>
    </row>
    <row r="35" spans="1:24" s="4" customFormat="1" ht="75.75" customHeight="1" x14ac:dyDescent="0.25">
      <c r="A35" s="209" t="s">
        <v>368</v>
      </c>
      <c r="B35" s="210" t="s">
        <v>384</v>
      </c>
      <c r="C35" s="210" t="s">
        <v>641</v>
      </c>
      <c r="D35" s="210"/>
      <c r="E35" s="270" t="s">
        <v>411</v>
      </c>
      <c r="F35" s="270" t="s">
        <v>439</v>
      </c>
      <c r="G35" s="211" t="s">
        <v>68</v>
      </c>
      <c r="H35" s="270" t="s">
        <v>462</v>
      </c>
      <c r="I35" s="212">
        <v>1700000</v>
      </c>
      <c r="J35" s="212">
        <v>0</v>
      </c>
      <c r="K35" s="212">
        <v>2300000</v>
      </c>
      <c r="L35" s="219">
        <f t="shared" si="0"/>
        <v>2300000</v>
      </c>
      <c r="M35" s="212"/>
      <c r="N35" s="213">
        <f t="shared" si="1"/>
        <v>0</v>
      </c>
      <c r="O35" s="214">
        <f t="shared" si="5"/>
        <v>600000</v>
      </c>
      <c r="P35" s="215">
        <f t="shared" si="3"/>
        <v>35.294117647058826</v>
      </c>
      <c r="Q35" s="74" t="b">
        <f>A35=[1]FORM.2!A32</f>
        <v>1</v>
      </c>
      <c r="R35" s="4" t="b">
        <f>B35=[1]FORM.2!$B$7</f>
        <v>0</v>
      </c>
      <c r="S35" s="4" t="b">
        <f>E35=[1]FORM.2!D31</f>
        <v>0</v>
      </c>
      <c r="T35" s="4" t="e">
        <f>F35=#REF!</f>
        <v>#REF!</v>
      </c>
      <c r="U35" s="4" t="e">
        <f>G35=#REF!</f>
        <v>#REF!</v>
      </c>
      <c r="V35" s="4" t="e">
        <f>H35=#REF!</f>
        <v>#REF!</v>
      </c>
      <c r="W35" s="4" t="e">
        <f>I35=#REF!</f>
        <v>#REF!</v>
      </c>
    </row>
    <row r="36" spans="1:24" s="4" customFormat="1" ht="59.25" customHeight="1" x14ac:dyDescent="0.25">
      <c r="A36" s="209" t="s">
        <v>368</v>
      </c>
      <c r="B36" s="210" t="s">
        <v>384</v>
      </c>
      <c r="C36" s="210" t="s">
        <v>641</v>
      </c>
      <c r="D36" s="210"/>
      <c r="E36" s="270" t="s">
        <v>412</v>
      </c>
      <c r="F36" s="270" t="s">
        <v>440</v>
      </c>
      <c r="G36" s="211" t="s">
        <v>53</v>
      </c>
      <c r="H36" s="270" t="s">
        <v>467</v>
      </c>
      <c r="I36" s="212">
        <v>70000</v>
      </c>
      <c r="J36" s="212">
        <v>0</v>
      </c>
      <c r="K36" s="212">
        <v>60000</v>
      </c>
      <c r="L36" s="219">
        <f t="shared" si="0"/>
        <v>60000</v>
      </c>
      <c r="M36" s="212"/>
      <c r="N36" s="213">
        <f t="shared" si="1"/>
        <v>0</v>
      </c>
      <c r="O36" s="214">
        <f t="shared" si="5"/>
        <v>-10000</v>
      </c>
      <c r="P36" s="215">
        <f t="shared" si="3"/>
        <v>-14.285714285714285</v>
      </c>
      <c r="Q36" s="74" t="b">
        <f>A36=[1]FORM.2!A33</f>
        <v>1</v>
      </c>
      <c r="R36" s="4" t="b">
        <f>B36=[1]FORM.2!$B$7</f>
        <v>0</v>
      </c>
      <c r="S36" s="4" t="b">
        <f>E36=[1]FORM.2!D32</f>
        <v>0</v>
      </c>
      <c r="T36" s="4" t="e">
        <f>F36=#REF!</f>
        <v>#REF!</v>
      </c>
      <c r="U36" s="4" t="e">
        <f>G36=#REF!</f>
        <v>#REF!</v>
      </c>
      <c r="V36" s="4" t="e">
        <f>H36=#REF!</f>
        <v>#REF!</v>
      </c>
      <c r="W36" s="4" t="e">
        <f>I36=#REF!</f>
        <v>#REF!</v>
      </c>
    </row>
    <row r="37" spans="1:24" s="4" customFormat="1" ht="59.25" customHeight="1" x14ac:dyDescent="0.25">
      <c r="A37" s="209" t="s">
        <v>368</v>
      </c>
      <c r="B37" s="210" t="s">
        <v>384</v>
      </c>
      <c r="C37" s="210" t="s">
        <v>385</v>
      </c>
      <c r="D37" s="210"/>
      <c r="E37" s="271" t="s">
        <v>413</v>
      </c>
      <c r="F37" s="271" t="s">
        <v>441</v>
      </c>
      <c r="G37" s="211" t="s">
        <v>65</v>
      </c>
      <c r="H37" s="271" t="s">
        <v>468</v>
      </c>
      <c r="I37" s="212">
        <v>13000</v>
      </c>
      <c r="J37" s="212">
        <v>0</v>
      </c>
      <c r="K37" s="212">
        <v>13000</v>
      </c>
      <c r="L37" s="219">
        <f t="shared" si="0"/>
        <v>13000</v>
      </c>
      <c r="M37" s="212"/>
      <c r="N37" s="213">
        <f t="shared" si="1"/>
        <v>0</v>
      </c>
      <c r="O37" s="214">
        <f>L37-I37</f>
        <v>0</v>
      </c>
      <c r="P37" s="215">
        <f>IFERROR(O37/I37*100,)</f>
        <v>0</v>
      </c>
      <c r="Q37" s="74" t="b">
        <f>A37=[1]FORM.2!A34</f>
        <v>1</v>
      </c>
      <c r="R37" s="4" t="b">
        <f>B37=[1]FORM.2!$B$7</f>
        <v>0</v>
      </c>
      <c r="S37" s="4" t="b">
        <f>E37=[1]FORM.2!D33</f>
        <v>0</v>
      </c>
      <c r="T37" s="4" t="e">
        <f>F37=#REF!</f>
        <v>#REF!</v>
      </c>
      <c r="U37" s="4" t="e">
        <f>G37=#REF!</f>
        <v>#REF!</v>
      </c>
      <c r="V37" s="4" t="e">
        <f>H37=#REF!</f>
        <v>#REF!</v>
      </c>
      <c r="W37" s="4" t="e">
        <f>I37=#REF!</f>
        <v>#REF!</v>
      </c>
    </row>
    <row r="38" spans="1:24" s="4" customFormat="1" ht="21.75" thickBot="1" x14ac:dyDescent="0.3">
      <c r="A38" s="458" t="s">
        <v>23</v>
      </c>
      <c r="B38" s="459"/>
      <c r="C38" s="459"/>
      <c r="D38" s="459"/>
      <c r="E38" s="459"/>
      <c r="F38" s="459"/>
      <c r="G38" s="459"/>
      <c r="H38" s="460"/>
      <c r="I38" s="164">
        <f>SUM(I9:I37)</f>
        <v>5637426</v>
      </c>
      <c r="J38" s="164">
        <f t="shared" ref="J38:O38" si="6">SUM(J9:J37)</f>
        <v>1000085.24</v>
      </c>
      <c r="K38" s="164">
        <f t="shared" si="6"/>
        <v>5076189.7799999993</v>
      </c>
      <c r="L38" s="359">
        <f t="shared" si="6"/>
        <v>6076275.0199999996</v>
      </c>
      <c r="M38" s="164">
        <f t="shared" si="6"/>
        <v>0</v>
      </c>
      <c r="N38" s="164">
        <f t="shared" si="6"/>
        <v>0</v>
      </c>
      <c r="O38" s="164">
        <f t="shared" si="6"/>
        <v>438849.0199999999</v>
      </c>
      <c r="P38" s="338">
        <f t="shared" si="3"/>
        <v>7.784563735293375</v>
      </c>
      <c r="X38" s="4" t="b">
        <f>J38=Sheet!G106</f>
        <v>1</v>
      </c>
    </row>
    <row r="39" spans="1:24" s="4" customFormat="1" ht="58.5" customHeight="1" x14ac:dyDescent="0.25">
      <c r="A39" s="336" t="s">
        <v>116</v>
      </c>
      <c r="B39" s="336"/>
      <c r="C39" s="336"/>
      <c r="D39" s="336"/>
      <c r="E39" s="336"/>
      <c r="F39" s="336"/>
      <c r="G39" s="336"/>
      <c r="H39" s="336"/>
      <c r="I39" s="336"/>
      <c r="J39" s="337">
        <f>Sheet!F106</f>
        <v>1000085.24</v>
      </c>
      <c r="K39" s="336"/>
      <c r="L39" s="336"/>
      <c r="M39" s="336"/>
      <c r="N39" s="336"/>
      <c r="O39" s="336"/>
      <c r="P39" s="336"/>
    </row>
    <row r="40" spans="1:24" s="4" customFormat="1" ht="21" x14ac:dyDescent="0.25">
      <c r="A40" s="454" t="s">
        <v>146</v>
      </c>
      <c r="B40" s="454"/>
      <c r="C40" s="454"/>
      <c r="D40" s="454"/>
      <c r="E40" s="454"/>
      <c r="F40" s="454"/>
      <c r="G40" s="454"/>
      <c r="H40" s="454"/>
      <c r="I40" s="454"/>
      <c r="J40" s="454"/>
      <c r="K40" s="454"/>
      <c r="L40" s="454"/>
      <c r="M40" s="454"/>
      <c r="N40" s="454"/>
      <c r="O40" s="454"/>
      <c r="P40" s="454"/>
    </row>
    <row r="41" spans="1:24" s="4" customFormat="1" ht="99" customHeight="1" x14ac:dyDescent="0.25">
      <c r="A41" s="455"/>
      <c r="B41" s="455"/>
      <c r="C41" s="455"/>
      <c r="D41" s="455"/>
      <c r="E41" s="455"/>
      <c r="F41" s="455"/>
      <c r="G41" s="455"/>
      <c r="H41" s="455"/>
      <c r="I41" s="455"/>
      <c r="J41" s="455"/>
      <c r="K41" s="455"/>
      <c r="L41" s="455"/>
      <c r="M41" s="455"/>
      <c r="N41" s="455"/>
      <c r="O41" s="455"/>
      <c r="P41" s="455"/>
    </row>
    <row r="42" spans="1:24" s="4" customFormat="1" ht="15" customHeight="1" x14ac:dyDescent="0.25">
      <c r="A42" s="453"/>
      <c r="B42" s="453"/>
      <c r="C42" s="453"/>
      <c r="D42" s="453"/>
      <c r="E42" s="453"/>
      <c r="F42" s="453"/>
      <c r="G42" s="453"/>
      <c r="H42" s="453"/>
      <c r="I42" s="453"/>
      <c r="J42" s="453"/>
      <c r="K42" s="453"/>
      <c r="L42" s="453"/>
      <c r="M42" s="453"/>
      <c r="N42" s="453"/>
      <c r="O42" s="453"/>
      <c r="P42" s="453"/>
    </row>
    <row r="43" spans="1:24" s="4" customFormat="1" ht="21" x14ac:dyDescent="0.25">
      <c r="A43" s="454" t="s">
        <v>178</v>
      </c>
      <c r="B43" s="454"/>
      <c r="C43" s="454"/>
      <c r="D43" s="454"/>
      <c r="E43" s="454"/>
      <c r="F43" s="454"/>
      <c r="G43" s="454"/>
      <c r="H43" s="454"/>
      <c r="I43" s="454"/>
      <c r="J43" s="454"/>
      <c r="K43" s="454"/>
      <c r="L43" s="454"/>
      <c r="M43" s="454"/>
      <c r="N43" s="454"/>
      <c r="O43" s="454"/>
      <c r="P43" s="454"/>
    </row>
    <row r="44" spans="1:24" s="4" customFormat="1" ht="25.5" customHeight="1" x14ac:dyDescent="0.25">
      <c r="A44" s="88" t="str">
        <f>'Anexo_1.1_Limites Estratégicos'!A4:N4</f>
        <v>Anexo 1.1- Limites de Aplicação dos Recursos Estratégicos - Reprogramação 2019</v>
      </c>
      <c r="B44" s="89"/>
      <c r="C44" s="89"/>
      <c r="D44" s="89"/>
      <c r="E44" s="89"/>
      <c r="F44" s="89"/>
      <c r="G44" s="89"/>
      <c r="H44" s="89"/>
      <c r="I44" s="89"/>
      <c r="J44" s="89"/>
      <c r="K44" s="89"/>
      <c r="L44" s="89"/>
      <c r="M44" s="89"/>
      <c r="N44" s="89"/>
      <c r="O44" s="89"/>
      <c r="P44" s="90"/>
    </row>
    <row r="45" spans="1:24" s="4" customFormat="1" ht="25.5" customHeight="1" x14ac:dyDescent="0.25">
      <c r="A45" s="91" t="str">
        <f>'Anexo_1.2_Usos e Fontes'!A6</f>
        <v>Anexo 1.2 - Demonstrativo de Usos e Fontes - Reprogramação 2019</v>
      </c>
      <c r="B45" s="25"/>
      <c r="C45" s="25"/>
      <c r="D45" s="25"/>
      <c r="E45" s="25"/>
      <c r="F45" s="25"/>
      <c r="G45" s="25"/>
      <c r="H45" s="25"/>
      <c r="I45" s="25"/>
      <c r="J45" s="25"/>
      <c r="K45" s="25"/>
      <c r="L45" s="25"/>
      <c r="M45" s="25"/>
      <c r="N45" s="25"/>
      <c r="O45" s="25"/>
      <c r="P45" s="92"/>
    </row>
    <row r="46" spans="1:24" s="4" customFormat="1" ht="25.5" customHeight="1" x14ac:dyDescent="0.25">
      <c r="A46" s="91" t="str">
        <f>'Anexo_1.3_ Elemento de Despesas'!A7:S7</f>
        <v>Anexo 1.3- Aplicações por Projeto/Atividade - por Elemento de Despesa (Consolidado) - Reprogramação 2019</v>
      </c>
      <c r="B46" s="25"/>
      <c r="C46" s="25"/>
      <c r="D46" s="25"/>
      <c r="E46" s="25"/>
      <c r="F46" s="25"/>
      <c r="G46" s="25"/>
      <c r="H46" s="25"/>
      <c r="I46" s="25"/>
      <c r="J46" s="25"/>
      <c r="K46" s="25"/>
      <c r="L46" s="25"/>
      <c r="M46" s="25"/>
      <c r="N46" s="25"/>
      <c r="O46" s="25"/>
      <c r="P46" s="92"/>
    </row>
    <row r="47" spans="1:24" s="4" customFormat="1" ht="25.5" customHeight="1" x14ac:dyDescent="0.25">
      <c r="A47" s="93" t="str">
        <f>'Anexo 1.4-ASSEJUR'!A6:R6</f>
        <v>Anexo 1.4 - Quadro Descritivo de Ações e Metas do Plano de Ação - Reprogramação 2019</v>
      </c>
      <c r="B47" s="94"/>
      <c r="C47" s="94"/>
      <c r="D47" s="94"/>
      <c r="E47" s="94"/>
      <c r="F47" s="94"/>
      <c r="G47" s="94"/>
      <c r="H47" s="94"/>
      <c r="I47" s="94"/>
      <c r="J47" s="94"/>
      <c r="K47" s="94"/>
      <c r="L47" s="94"/>
      <c r="M47" s="94"/>
      <c r="N47" s="94"/>
      <c r="O47" s="94"/>
      <c r="P47" s="95"/>
    </row>
    <row r="48" spans="1:24" x14ac:dyDescent="0.25">
      <c r="Q48" s="24"/>
    </row>
  </sheetData>
  <sheetProtection formatCells="0" formatRows="0" insertRows="0" deleteRows="0"/>
  <mergeCells count="20">
    <mergeCell ref="A3:P3"/>
    <mergeCell ref="H7:H8"/>
    <mergeCell ref="A5:P5"/>
    <mergeCell ref="O7:P7"/>
    <mergeCell ref="A7:A8"/>
    <mergeCell ref="B7:B8"/>
    <mergeCell ref="E7:E8"/>
    <mergeCell ref="G7:G8"/>
    <mergeCell ref="F7:F8"/>
    <mergeCell ref="A4:P4"/>
    <mergeCell ref="A6:P6"/>
    <mergeCell ref="D7:D8"/>
    <mergeCell ref="A42:P42"/>
    <mergeCell ref="A43:P43"/>
    <mergeCell ref="A41:P41"/>
    <mergeCell ref="A40:P40"/>
    <mergeCell ref="I7:I8"/>
    <mergeCell ref="A38:H38"/>
    <mergeCell ref="C7:C8"/>
    <mergeCell ref="J7:N7"/>
  </mergeCells>
  <pageMargins left="0.23622047244094491" right="0.23622047244094491" top="0.27" bottom="0.17" header="0.31496062992125984" footer="0.31496062992125984"/>
  <pageSetup paperSize="9" scale="37" fitToHeight="0" orientation="landscape" r:id="rId1"/>
  <ignoredErrors>
    <ignoredError sqref="N35 N9:N3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'Matriz Objetivos x Projetos'!$B$11:$B$24</xm:f>
          </x14:formula1>
          <xm:sqref>G9:G37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showGridLines="0" topLeftCell="A79" workbookViewId="0">
      <selection activeCell="G76" sqref="G76"/>
    </sheetView>
  </sheetViews>
  <sheetFormatPr defaultRowHeight="15" x14ac:dyDescent="0.25"/>
  <cols>
    <col min="1" max="1" width="20.7109375" style="310" customWidth="1"/>
    <col min="2" max="2" width="13.28515625" style="310" customWidth="1"/>
    <col min="3" max="3" width="9.5703125" style="310" hidden="1" customWidth="1"/>
    <col min="4" max="4" width="3.85546875" style="310" hidden="1" customWidth="1"/>
    <col min="5" max="5" width="13.28515625" style="310" hidden="1" customWidth="1"/>
    <col min="6" max="7" width="13.42578125" style="310" customWidth="1"/>
    <col min="8" max="8" width="13.28515625" style="310" hidden="1" customWidth="1"/>
    <col min="9" max="9" width="13.42578125" style="310" hidden="1" customWidth="1"/>
    <col min="10" max="10" width="3.140625" style="310" hidden="1" customWidth="1"/>
    <col min="11" max="11" width="10.28515625" style="310" hidden="1" customWidth="1"/>
    <col min="12" max="12" width="2.140625" style="310" hidden="1" customWidth="1"/>
    <col min="13" max="13" width="11.140625" style="310" hidden="1" customWidth="1"/>
    <col min="14" max="14" width="13.42578125" style="310" hidden="1" customWidth="1"/>
    <col min="15" max="15" width="0.42578125" style="310" customWidth="1"/>
    <col min="16" max="16384" width="9.140625" style="310"/>
  </cols>
  <sheetData>
    <row r="1" spans="1:15" ht="34.5" customHeight="1" x14ac:dyDescent="0.25">
      <c r="M1" s="479"/>
      <c r="N1" s="479"/>
      <c r="O1" s="479"/>
    </row>
    <row r="2" spans="1:15" ht="23.25" customHeight="1" x14ac:dyDescent="0.25">
      <c r="A2" s="470" t="s">
        <v>757</v>
      </c>
      <c r="B2" s="470"/>
      <c r="C2" s="470"/>
      <c r="D2" s="470"/>
      <c r="E2" s="470"/>
      <c r="F2" s="470"/>
      <c r="G2" s="470"/>
      <c r="H2" s="470"/>
      <c r="I2" s="470"/>
      <c r="J2" s="470"/>
      <c r="K2" s="470"/>
      <c r="L2" s="470"/>
      <c r="M2" s="479"/>
      <c r="N2" s="479"/>
      <c r="O2" s="479"/>
    </row>
    <row r="3" spans="1:15" ht="15.75" customHeight="1" x14ac:dyDescent="0.25">
      <c r="A3" s="471" t="s">
        <v>756</v>
      </c>
      <c r="B3" s="471"/>
      <c r="C3" s="471"/>
      <c r="D3" s="471"/>
      <c r="E3" s="471"/>
      <c r="F3" s="471"/>
      <c r="G3" s="471"/>
      <c r="H3" s="471"/>
      <c r="I3" s="471"/>
      <c r="J3" s="471"/>
      <c r="K3" s="471"/>
      <c r="L3" s="471"/>
      <c r="M3" s="479"/>
      <c r="N3" s="479"/>
      <c r="O3" s="479"/>
    </row>
    <row r="4" spans="1:15" ht="1.5" customHeight="1" x14ac:dyDescent="0.25">
      <c r="M4" s="479"/>
      <c r="N4" s="479"/>
      <c r="O4" s="479"/>
    </row>
    <row r="5" spans="1:15" ht="9" customHeight="1" x14ac:dyDescent="0.25">
      <c r="A5" s="471" t="s">
        <v>755</v>
      </c>
      <c r="B5" s="471"/>
      <c r="C5" s="471"/>
      <c r="M5" s="479"/>
      <c r="N5" s="479"/>
      <c r="O5" s="479"/>
    </row>
    <row r="6" spans="1:15" ht="7.5" customHeight="1" x14ac:dyDescent="0.25">
      <c r="A6" s="471"/>
      <c r="B6" s="471"/>
      <c r="C6" s="471"/>
    </row>
    <row r="7" spans="1:15" ht="0.75" customHeight="1" x14ac:dyDescent="0.25"/>
    <row r="8" spans="1:15" ht="5.25" customHeight="1" x14ac:dyDescent="0.25">
      <c r="A8" s="472"/>
      <c r="B8" s="472"/>
      <c r="C8" s="472"/>
      <c r="D8" s="472"/>
      <c r="E8" s="472"/>
      <c r="F8" s="472"/>
      <c r="G8" s="472"/>
      <c r="H8" s="472"/>
      <c r="I8" s="472"/>
      <c r="J8" s="472"/>
      <c r="K8" s="472"/>
      <c r="L8" s="472"/>
      <c r="M8" s="472"/>
      <c r="N8" s="472"/>
      <c r="O8" s="472"/>
    </row>
    <row r="9" spans="1:15" ht="14.25" customHeight="1" x14ac:dyDescent="0.25">
      <c r="K9" s="477" t="s">
        <v>754</v>
      </c>
      <c r="L9" s="477"/>
      <c r="M9" s="477"/>
      <c r="N9" s="477"/>
      <c r="O9" s="477"/>
    </row>
    <row r="10" spans="1:15" ht="19.5" customHeight="1" x14ac:dyDescent="0.25">
      <c r="A10" s="473" t="s">
        <v>753</v>
      </c>
      <c r="B10" s="473"/>
      <c r="C10" s="473"/>
      <c r="D10" s="473"/>
      <c r="E10" s="473"/>
      <c r="F10" s="473"/>
      <c r="G10" s="473"/>
      <c r="H10" s="473"/>
      <c r="I10" s="473"/>
      <c r="J10" s="473"/>
      <c r="K10" s="473"/>
      <c r="L10" s="473"/>
      <c r="M10" s="473"/>
      <c r="N10" s="473"/>
      <c r="O10" s="473"/>
    </row>
    <row r="11" spans="1:15" ht="15" customHeight="1" x14ac:dyDescent="0.25">
      <c r="A11" s="474" t="s">
        <v>752</v>
      </c>
      <c r="B11" s="474"/>
      <c r="C11" s="474"/>
      <c r="D11" s="474"/>
      <c r="E11" s="474"/>
      <c r="F11" s="474"/>
      <c r="G11" s="474"/>
      <c r="H11" s="474"/>
      <c r="I11" s="474"/>
      <c r="J11" s="474"/>
      <c r="K11" s="474"/>
      <c r="L11" s="474"/>
      <c r="M11" s="474"/>
      <c r="N11" s="474"/>
      <c r="O11" s="474"/>
    </row>
    <row r="12" spans="1:15" ht="2.25" customHeight="1" x14ac:dyDescent="0.25"/>
    <row r="13" spans="1:15" ht="14.25" customHeight="1" x14ac:dyDescent="0.25">
      <c r="A13" s="475"/>
      <c r="B13" s="475"/>
      <c r="C13" s="481" t="s">
        <v>751</v>
      </c>
      <c r="D13" s="481"/>
      <c r="E13" s="481"/>
      <c r="F13" s="481" t="s">
        <v>750</v>
      </c>
      <c r="G13" s="481"/>
      <c r="H13" s="481" t="s">
        <v>749</v>
      </c>
      <c r="I13" s="481"/>
      <c r="J13" s="481" t="s">
        <v>748</v>
      </c>
      <c r="K13" s="481"/>
      <c r="L13" s="481"/>
      <c r="M13" s="481"/>
      <c r="N13" s="481"/>
      <c r="O13" s="481"/>
    </row>
    <row r="14" spans="1:15" ht="14.25" customHeight="1" x14ac:dyDescent="0.25">
      <c r="A14" s="317" t="s">
        <v>747</v>
      </c>
      <c r="B14" s="316" t="s">
        <v>746</v>
      </c>
      <c r="C14" s="478" t="s">
        <v>745</v>
      </c>
      <c r="D14" s="478"/>
      <c r="E14" s="315" t="s">
        <v>744</v>
      </c>
      <c r="F14" s="315" t="s">
        <v>745</v>
      </c>
      <c r="G14" s="315" t="s">
        <v>744</v>
      </c>
      <c r="H14" s="315" t="s">
        <v>745</v>
      </c>
      <c r="I14" s="315" t="s">
        <v>744</v>
      </c>
      <c r="J14" s="478" t="s">
        <v>743</v>
      </c>
      <c r="K14" s="478"/>
      <c r="L14" s="478" t="s">
        <v>742</v>
      </c>
      <c r="M14" s="478"/>
      <c r="N14" s="478" t="s">
        <v>741</v>
      </c>
      <c r="O14" s="478"/>
    </row>
    <row r="15" spans="1:15" ht="14.25" customHeight="1" x14ac:dyDescent="0.25">
      <c r="A15" s="476" t="s">
        <v>740</v>
      </c>
      <c r="B15" s="476"/>
      <c r="C15" s="476"/>
      <c r="D15" s="476"/>
      <c r="E15" s="476"/>
      <c r="F15" s="476"/>
      <c r="G15" s="476"/>
      <c r="H15" s="476"/>
      <c r="I15" s="476"/>
      <c r="J15" s="476"/>
      <c r="K15" s="476"/>
      <c r="L15" s="476"/>
      <c r="M15" s="476"/>
      <c r="N15" s="476"/>
    </row>
    <row r="16" spans="1:15" ht="14.25" customHeight="1" x14ac:dyDescent="0.25">
      <c r="A16" s="314"/>
      <c r="B16" s="313">
        <v>256562.99</v>
      </c>
      <c r="C16" s="468">
        <v>185871.74</v>
      </c>
      <c r="D16" s="468"/>
      <c r="E16" s="313">
        <v>185871.74</v>
      </c>
      <c r="F16" s="313">
        <v>80657.02</v>
      </c>
      <c r="G16" s="313">
        <v>80657.02</v>
      </c>
      <c r="H16" s="313">
        <v>78031.649999999994</v>
      </c>
      <c r="I16" s="313">
        <v>78031.649999999994</v>
      </c>
      <c r="J16" s="468">
        <v>70691.25</v>
      </c>
      <c r="K16" s="468"/>
      <c r="L16" s="468">
        <v>105214.72</v>
      </c>
      <c r="M16" s="468"/>
      <c r="N16" s="313">
        <v>2625.37</v>
      </c>
    </row>
    <row r="17" spans="1:14" ht="14.25" customHeight="1" x14ac:dyDescent="0.25">
      <c r="A17" s="480" t="s">
        <v>739</v>
      </c>
      <c r="B17" s="480"/>
      <c r="C17" s="480"/>
      <c r="D17" s="480"/>
      <c r="E17" s="480"/>
      <c r="F17" s="480"/>
      <c r="G17" s="480"/>
      <c r="H17" s="480"/>
      <c r="I17" s="480"/>
      <c r="J17" s="480"/>
      <c r="K17" s="480"/>
      <c r="L17" s="480"/>
      <c r="M17" s="480"/>
      <c r="N17" s="480"/>
    </row>
    <row r="18" spans="1:14" ht="14.25" customHeight="1" x14ac:dyDescent="0.25">
      <c r="A18" s="312"/>
      <c r="B18" s="311">
        <v>28500</v>
      </c>
      <c r="C18" s="469">
        <v>26500</v>
      </c>
      <c r="D18" s="469"/>
      <c r="E18" s="311">
        <v>26500</v>
      </c>
      <c r="F18" s="311">
        <v>12138.49</v>
      </c>
      <c r="G18" s="311">
        <v>12138.49</v>
      </c>
      <c r="H18" s="311">
        <v>12138.49</v>
      </c>
      <c r="I18" s="311">
        <v>12138.49</v>
      </c>
      <c r="J18" s="469">
        <v>2000</v>
      </c>
      <c r="K18" s="469"/>
      <c r="L18" s="469">
        <v>14361.51</v>
      </c>
      <c r="M18" s="469"/>
      <c r="N18" s="311">
        <v>0</v>
      </c>
    </row>
    <row r="19" spans="1:14" ht="14.25" customHeight="1" x14ac:dyDescent="0.25">
      <c r="A19" s="483" t="s">
        <v>738</v>
      </c>
      <c r="B19" s="483"/>
      <c r="C19" s="483"/>
      <c r="D19" s="483"/>
      <c r="E19" s="483"/>
      <c r="F19" s="483"/>
      <c r="G19" s="483"/>
      <c r="H19" s="483"/>
      <c r="I19" s="483"/>
      <c r="J19" s="483"/>
      <c r="K19" s="483"/>
      <c r="L19" s="483"/>
      <c r="M19" s="483"/>
      <c r="N19" s="483"/>
    </row>
    <row r="20" spans="1:14" ht="14.25" customHeight="1" x14ac:dyDescent="0.25">
      <c r="A20" s="314"/>
      <c r="B20" s="313">
        <v>28500</v>
      </c>
      <c r="C20" s="468">
        <v>26500</v>
      </c>
      <c r="D20" s="468"/>
      <c r="E20" s="313">
        <v>26500</v>
      </c>
      <c r="F20" s="313">
        <v>12138.49</v>
      </c>
      <c r="G20" s="313">
        <v>12138.49</v>
      </c>
      <c r="H20" s="313">
        <v>12138.49</v>
      </c>
      <c r="I20" s="313">
        <v>12138.49</v>
      </c>
      <c r="J20" s="468">
        <v>2000</v>
      </c>
      <c r="K20" s="468"/>
      <c r="L20" s="468">
        <v>14361.51</v>
      </c>
      <c r="M20" s="468"/>
      <c r="N20" s="313">
        <v>0</v>
      </c>
    </row>
    <row r="21" spans="1:14" ht="14.25" customHeight="1" x14ac:dyDescent="0.25">
      <c r="A21" s="480" t="s">
        <v>737</v>
      </c>
      <c r="B21" s="480"/>
      <c r="C21" s="480"/>
      <c r="D21" s="480"/>
      <c r="E21" s="480"/>
      <c r="F21" s="480"/>
      <c r="G21" s="480"/>
      <c r="H21" s="480"/>
      <c r="I21" s="480"/>
      <c r="J21" s="480"/>
      <c r="K21" s="480"/>
      <c r="L21" s="480"/>
      <c r="M21" s="480"/>
      <c r="N21" s="480"/>
    </row>
    <row r="22" spans="1:14" ht="14.25" customHeight="1" x14ac:dyDescent="0.25">
      <c r="A22" s="312"/>
      <c r="B22" s="311">
        <v>124062.99</v>
      </c>
      <c r="C22" s="469">
        <v>116871.74</v>
      </c>
      <c r="D22" s="469"/>
      <c r="E22" s="311">
        <v>116871.74</v>
      </c>
      <c r="F22" s="311">
        <v>43803.57</v>
      </c>
      <c r="G22" s="311">
        <v>43803.57</v>
      </c>
      <c r="H22" s="311">
        <v>42346.99</v>
      </c>
      <c r="I22" s="311">
        <v>42346.99</v>
      </c>
      <c r="J22" s="469">
        <v>7191.25</v>
      </c>
      <c r="K22" s="469"/>
      <c r="L22" s="469">
        <v>73068.17</v>
      </c>
      <c r="M22" s="469"/>
      <c r="N22" s="311">
        <v>1456.58</v>
      </c>
    </row>
    <row r="23" spans="1:14" ht="13.5" customHeight="1" x14ac:dyDescent="0.25">
      <c r="A23" s="483" t="s">
        <v>736</v>
      </c>
      <c r="B23" s="483"/>
      <c r="C23" s="483"/>
      <c r="D23" s="483"/>
      <c r="E23" s="483"/>
      <c r="F23" s="483"/>
      <c r="G23" s="483"/>
      <c r="H23" s="483"/>
      <c r="I23" s="483"/>
      <c r="J23" s="483"/>
      <c r="K23" s="483"/>
      <c r="L23" s="483"/>
      <c r="M23" s="483"/>
      <c r="N23" s="483"/>
    </row>
    <row r="24" spans="1:14" ht="14.25" customHeight="1" x14ac:dyDescent="0.25">
      <c r="A24" s="314"/>
      <c r="B24" s="313">
        <v>124062.99</v>
      </c>
      <c r="C24" s="468">
        <v>116871.74</v>
      </c>
      <c r="D24" s="468"/>
      <c r="E24" s="313">
        <v>116871.74</v>
      </c>
      <c r="F24" s="313">
        <v>43803.57</v>
      </c>
      <c r="G24" s="313">
        <v>43803.57</v>
      </c>
      <c r="H24" s="313">
        <v>42346.99</v>
      </c>
      <c r="I24" s="313">
        <v>42346.99</v>
      </c>
      <c r="J24" s="468">
        <v>7191.25</v>
      </c>
      <c r="K24" s="468"/>
      <c r="L24" s="468">
        <v>73068.17</v>
      </c>
      <c r="M24" s="468"/>
      <c r="N24" s="313">
        <v>1456.58</v>
      </c>
    </row>
    <row r="25" spans="1:14" ht="14.25" customHeight="1" x14ac:dyDescent="0.25">
      <c r="A25" s="480" t="s">
        <v>735</v>
      </c>
      <c r="B25" s="480"/>
      <c r="C25" s="480"/>
      <c r="D25" s="480"/>
      <c r="E25" s="480"/>
      <c r="F25" s="480"/>
      <c r="G25" s="480"/>
      <c r="H25" s="480"/>
      <c r="I25" s="480"/>
      <c r="J25" s="480"/>
      <c r="K25" s="480"/>
      <c r="L25" s="480"/>
      <c r="M25" s="480"/>
      <c r="N25" s="480"/>
    </row>
    <row r="26" spans="1:14" ht="14.25" customHeight="1" x14ac:dyDescent="0.25">
      <c r="A26" s="312"/>
      <c r="B26" s="311">
        <v>20000</v>
      </c>
      <c r="C26" s="469">
        <v>18500</v>
      </c>
      <c r="D26" s="469"/>
      <c r="E26" s="311">
        <v>18500</v>
      </c>
      <c r="F26" s="311">
        <v>16579.09</v>
      </c>
      <c r="G26" s="311">
        <v>16579.09</v>
      </c>
      <c r="H26" s="311">
        <v>15766.56</v>
      </c>
      <c r="I26" s="311">
        <v>15766.56</v>
      </c>
      <c r="J26" s="469">
        <v>1500</v>
      </c>
      <c r="K26" s="469"/>
      <c r="L26" s="469">
        <v>1920.91</v>
      </c>
      <c r="M26" s="469"/>
      <c r="N26" s="311">
        <v>812.53</v>
      </c>
    </row>
    <row r="27" spans="1:14" ht="14.25" customHeight="1" x14ac:dyDescent="0.25">
      <c r="A27" s="483" t="s">
        <v>734</v>
      </c>
      <c r="B27" s="483"/>
      <c r="C27" s="483"/>
      <c r="D27" s="483"/>
      <c r="E27" s="483"/>
      <c r="F27" s="483"/>
      <c r="G27" s="483"/>
      <c r="H27" s="483"/>
      <c r="I27" s="483"/>
      <c r="J27" s="483"/>
      <c r="K27" s="483"/>
      <c r="L27" s="483"/>
      <c r="M27" s="483"/>
      <c r="N27" s="483"/>
    </row>
    <row r="28" spans="1:14" ht="14.25" customHeight="1" x14ac:dyDescent="0.25">
      <c r="A28" s="314"/>
      <c r="B28" s="313">
        <v>20000</v>
      </c>
      <c r="C28" s="468">
        <v>18500</v>
      </c>
      <c r="D28" s="468"/>
      <c r="E28" s="313">
        <v>18500</v>
      </c>
      <c r="F28" s="313">
        <v>16579.09</v>
      </c>
      <c r="G28" s="313">
        <v>16579.09</v>
      </c>
      <c r="H28" s="313">
        <v>15766.56</v>
      </c>
      <c r="I28" s="313">
        <v>15766.56</v>
      </c>
      <c r="J28" s="468">
        <v>1500</v>
      </c>
      <c r="K28" s="468"/>
      <c r="L28" s="468">
        <v>1920.91</v>
      </c>
      <c r="M28" s="468"/>
      <c r="N28" s="313">
        <v>812.53</v>
      </c>
    </row>
    <row r="29" spans="1:14" ht="14.25" customHeight="1" x14ac:dyDescent="0.25">
      <c r="A29" s="480" t="s">
        <v>733</v>
      </c>
      <c r="B29" s="480"/>
      <c r="C29" s="480"/>
      <c r="D29" s="480"/>
      <c r="E29" s="480"/>
      <c r="F29" s="480"/>
      <c r="G29" s="480"/>
      <c r="H29" s="480"/>
      <c r="I29" s="480"/>
      <c r="J29" s="480"/>
      <c r="K29" s="480"/>
      <c r="L29" s="480"/>
      <c r="M29" s="480"/>
      <c r="N29" s="480"/>
    </row>
    <row r="30" spans="1:14" ht="14.25" customHeight="1" x14ac:dyDescent="0.25">
      <c r="A30" s="312"/>
      <c r="B30" s="311">
        <v>18000</v>
      </c>
      <c r="C30" s="469">
        <v>18000</v>
      </c>
      <c r="D30" s="469"/>
      <c r="E30" s="311">
        <v>18000</v>
      </c>
      <c r="F30" s="311">
        <v>6035.87</v>
      </c>
      <c r="G30" s="311">
        <v>6035.87</v>
      </c>
      <c r="H30" s="311">
        <v>5829.61</v>
      </c>
      <c r="I30" s="311">
        <v>5829.61</v>
      </c>
      <c r="J30" s="469">
        <v>0</v>
      </c>
      <c r="K30" s="469"/>
      <c r="L30" s="469">
        <v>11964.13</v>
      </c>
      <c r="M30" s="469"/>
      <c r="N30" s="311">
        <v>206.26</v>
      </c>
    </row>
    <row r="31" spans="1:14" ht="14.25" customHeight="1" x14ac:dyDescent="0.25">
      <c r="A31" s="483" t="s">
        <v>732</v>
      </c>
      <c r="B31" s="483"/>
      <c r="C31" s="483"/>
      <c r="D31" s="483"/>
      <c r="E31" s="483"/>
      <c r="F31" s="483"/>
      <c r="G31" s="483"/>
      <c r="H31" s="483"/>
      <c r="I31" s="483"/>
      <c r="J31" s="483"/>
      <c r="K31" s="483"/>
      <c r="L31" s="483"/>
      <c r="M31" s="483"/>
      <c r="N31" s="483"/>
    </row>
    <row r="32" spans="1:14" ht="14.25" customHeight="1" x14ac:dyDescent="0.25">
      <c r="A32" s="314"/>
      <c r="B32" s="313">
        <v>18000</v>
      </c>
      <c r="C32" s="468">
        <v>18000</v>
      </c>
      <c r="D32" s="468"/>
      <c r="E32" s="313">
        <v>18000</v>
      </c>
      <c r="F32" s="313">
        <v>6035.87</v>
      </c>
      <c r="G32" s="313">
        <v>6035.87</v>
      </c>
      <c r="H32" s="313">
        <v>5829.61</v>
      </c>
      <c r="I32" s="313">
        <v>5829.61</v>
      </c>
      <c r="J32" s="468">
        <v>0</v>
      </c>
      <c r="K32" s="468"/>
      <c r="L32" s="468">
        <v>11964.13</v>
      </c>
      <c r="M32" s="468"/>
      <c r="N32" s="313">
        <v>206.26</v>
      </c>
    </row>
    <row r="33" spans="1:14" ht="13.5" customHeight="1" x14ac:dyDescent="0.25">
      <c r="A33" s="480" t="s">
        <v>731</v>
      </c>
      <c r="B33" s="480"/>
      <c r="C33" s="480"/>
      <c r="D33" s="480"/>
      <c r="E33" s="480"/>
      <c r="F33" s="480"/>
      <c r="G33" s="480"/>
      <c r="H33" s="480"/>
      <c r="I33" s="480"/>
      <c r="J33" s="480"/>
      <c r="K33" s="480"/>
      <c r="L33" s="480"/>
      <c r="M33" s="480"/>
      <c r="N33" s="480"/>
    </row>
    <row r="34" spans="1:14" ht="14.25" customHeight="1" x14ac:dyDescent="0.25">
      <c r="A34" s="312"/>
      <c r="B34" s="311">
        <v>6000</v>
      </c>
      <c r="C34" s="469">
        <v>6000</v>
      </c>
      <c r="D34" s="469"/>
      <c r="E34" s="311">
        <v>6000</v>
      </c>
      <c r="F34" s="311">
        <v>2100</v>
      </c>
      <c r="G34" s="311">
        <v>2100</v>
      </c>
      <c r="H34" s="311">
        <v>1950</v>
      </c>
      <c r="I34" s="311">
        <v>1950</v>
      </c>
      <c r="J34" s="469">
        <v>0</v>
      </c>
      <c r="K34" s="469"/>
      <c r="L34" s="469">
        <v>3900</v>
      </c>
      <c r="M34" s="469"/>
      <c r="N34" s="311">
        <v>150</v>
      </c>
    </row>
    <row r="35" spans="1:14" ht="14.25" customHeight="1" x14ac:dyDescent="0.25">
      <c r="A35" s="483" t="s">
        <v>730</v>
      </c>
      <c r="B35" s="483"/>
      <c r="C35" s="483"/>
      <c r="D35" s="483"/>
      <c r="E35" s="483"/>
      <c r="F35" s="483"/>
      <c r="G35" s="483"/>
      <c r="H35" s="483"/>
      <c r="I35" s="483"/>
      <c r="J35" s="483"/>
      <c r="K35" s="483"/>
      <c r="L35" s="483"/>
      <c r="M35" s="483"/>
      <c r="N35" s="483"/>
    </row>
    <row r="36" spans="1:14" ht="14.25" customHeight="1" x14ac:dyDescent="0.25">
      <c r="A36" s="314"/>
      <c r="B36" s="313">
        <v>6000</v>
      </c>
      <c r="C36" s="468">
        <v>6000</v>
      </c>
      <c r="D36" s="468"/>
      <c r="E36" s="313">
        <v>6000</v>
      </c>
      <c r="F36" s="313">
        <v>2100</v>
      </c>
      <c r="G36" s="313">
        <v>2100</v>
      </c>
      <c r="H36" s="313">
        <v>1950</v>
      </c>
      <c r="I36" s="313">
        <v>1950</v>
      </c>
      <c r="J36" s="468">
        <v>0</v>
      </c>
      <c r="K36" s="468"/>
      <c r="L36" s="468">
        <v>3900</v>
      </c>
      <c r="M36" s="468"/>
      <c r="N36" s="313">
        <v>150</v>
      </c>
    </row>
    <row r="37" spans="1:14" ht="14.25" customHeight="1" x14ac:dyDescent="0.25">
      <c r="A37" s="480" t="s">
        <v>729</v>
      </c>
      <c r="B37" s="480"/>
      <c r="C37" s="480"/>
      <c r="D37" s="480"/>
      <c r="E37" s="480"/>
      <c r="F37" s="480"/>
      <c r="G37" s="480"/>
      <c r="H37" s="480"/>
      <c r="I37" s="480"/>
      <c r="J37" s="480"/>
      <c r="K37" s="480"/>
      <c r="L37" s="480"/>
      <c r="M37" s="480"/>
      <c r="N37" s="480"/>
    </row>
    <row r="38" spans="1:14" ht="14.25" customHeight="1" x14ac:dyDescent="0.25">
      <c r="A38" s="312"/>
      <c r="B38" s="311">
        <v>60000</v>
      </c>
      <c r="C38" s="469">
        <v>0</v>
      </c>
      <c r="D38" s="469"/>
      <c r="E38" s="311">
        <v>0</v>
      </c>
      <c r="F38" s="311">
        <v>0</v>
      </c>
      <c r="G38" s="311">
        <v>0</v>
      </c>
      <c r="H38" s="311">
        <v>0</v>
      </c>
      <c r="I38" s="311">
        <v>0</v>
      </c>
      <c r="J38" s="469">
        <v>60000</v>
      </c>
      <c r="K38" s="469"/>
      <c r="L38" s="469">
        <v>0</v>
      </c>
      <c r="M38" s="469"/>
      <c r="N38" s="311">
        <v>0</v>
      </c>
    </row>
    <row r="39" spans="1:14" ht="14.25" customHeight="1" x14ac:dyDescent="0.25">
      <c r="A39" s="483" t="s">
        <v>728</v>
      </c>
      <c r="B39" s="483"/>
      <c r="C39" s="483"/>
      <c r="D39" s="483"/>
      <c r="E39" s="483"/>
      <c r="F39" s="483"/>
      <c r="G39" s="483"/>
      <c r="H39" s="483"/>
      <c r="I39" s="483"/>
      <c r="J39" s="483"/>
      <c r="K39" s="483"/>
      <c r="L39" s="483"/>
      <c r="M39" s="483"/>
      <c r="N39" s="483"/>
    </row>
    <row r="40" spans="1:14" ht="14.25" customHeight="1" x14ac:dyDescent="0.25">
      <c r="A40" s="314"/>
      <c r="B40" s="313">
        <v>60000</v>
      </c>
      <c r="C40" s="468">
        <v>0</v>
      </c>
      <c r="D40" s="468"/>
      <c r="E40" s="313">
        <v>0</v>
      </c>
      <c r="F40" s="313">
        <v>0</v>
      </c>
      <c r="G40" s="313">
        <v>0</v>
      </c>
      <c r="H40" s="313">
        <v>0</v>
      </c>
      <c r="I40" s="313">
        <v>0</v>
      </c>
      <c r="J40" s="468">
        <v>60000</v>
      </c>
      <c r="K40" s="468"/>
      <c r="L40" s="468">
        <v>0</v>
      </c>
      <c r="M40" s="468"/>
      <c r="N40" s="313">
        <v>0</v>
      </c>
    </row>
    <row r="41" spans="1:14" ht="14.25" customHeight="1" x14ac:dyDescent="0.25">
      <c r="A41" s="480" t="s">
        <v>727</v>
      </c>
      <c r="B41" s="480"/>
      <c r="C41" s="480"/>
      <c r="D41" s="480"/>
      <c r="E41" s="480"/>
      <c r="F41" s="480"/>
      <c r="G41" s="480"/>
      <c r="H41" s="480"/>
      <c r="I41" s="480"/>
      <c r="J41" s="480"/>
      <c r="K41" s="480"/>
      <c r="L41" s="480"/>
      <c r="M41" s="480"/>
      <c r="N41" s="480"/>
    </row>
    <row r="42" spans="1:14" ht="13.5" customHeight="1" x14ac:dyDescent="0.25">
      <c r="A42" s="312"/>
      <c r="B42" s="311">
        <v>5380863.0099999998</v>
      </c>
      <c r="C42" s="469">
        <v>2526491.11</v>
      </c>
      <c r="D42" s="469"/>
      <c r="E42" s="311">
        <v>2526491.11</v>
      </c>
      <c r="F42" s="311">
        <v>919428.22</v>
      </c>
      <c r="G42" s="311">
        <v>919428.22</v>
      </c>
      <c r="H42" s="311">
        <v>865028.8</v>
      </c>
      <c r="I42" s="311">
        <v>865028.8</v>
      </c>
      <c r="J42" s="469">
        <v>2854371.9</v>
      </c>
      <c r="K42" s="469"/>
      <c r="L42" s="469">
        <v>1607062.89</v>
      </c>
      <c r="M42" s="469"/>
      <c r="N42" s="311">
        <v>54399.42</v>
      </c>
    </row>
    <row r="43" spans="1:14" ht="14.25" customHeight="1" x14ac:dyDescent="0.25">
      <c r="A43" s="476" t="s">
        <v>726</v>
      </c>
      <c r="B43" s="476"/>
      <c r="C43" s="476"/>
      <c r="D43" s="476"/>
      <c r="E43" s="476"/>
      <c r="F43" s="476"/>
      <c r="G43" s="476"/>
      <c r="H43" s="476"/>
      <c r="I43" s="476"/>
      <c r="J43" s="476"/>
      <c r="K43" s="476"/>
      <c r="L43" s="476"/>
      <c r="M43" s="476"/>
      <c r="N43" s="476"/>
    </row>
    <row r="44" spans="1:14" ht="14.25" customHeight="1" x14ac:dyDescent="0.25">
      <c r="A44" s="314"/>
      <c r="B44" s="313">
        <v>2589018.2799999998</v>
      </c>
      <c r="C44" s="468">
        <v>163432.28</v>
      </c>
      <c r="D44" s="468"/>
      <c r="E44" s="313">
        <v>163432.28</v>
      </c>
      <c r="F44" s="313">
        <v>79052.58</v>
      </c>
      <c r="G44" s="313">
        <v>79052.58</v>
      </c>
      <c r="H44" s="313">
        <v>75397.58</v>
      </c>
      <c r="I44" s="313">
        <v>75397.58</v>
      </c>
      <c r="J44" s="468">
        <v>2425586</v>
      </c>
      <c r="K44" s="468"/>
      <c r="L44" s="468">
        <v>84379.7</v>
      </c>
      <c r="M44" s="468"/>
      <c r="N44" s="313">
        <v>3655</v>
      </c>
    </row>
    <row r="45" spans="1:14" ht="14.25" customHeight="1" x14ac:dyDescent="0.25">
      <c r="A45" s="482" t="s">
        <v>725</v>
      </c>
      <c r="B45" s="482"/>
      <c r="C45" s="482"/>
      <c r="D45" s="482"/>
      <c r="E45" s="482"/>
      <c r="F45" s="482"/>
      <c r="G45" s="482"/>
      <c r="H45" s="482"/>
      <c r="I45" s="482"/>
      <c r="J45" s="482"/>
      <c r="K45" s="482"/>
      <c r="L45" s="482"/>
      <c r="M45" s="482"/>
      <c r="N45" s="482"/>
    </row>
    <row r="46" spans="1:14" ht="14.25" customHeight="1" x14ac:dyDescent="0.25">
      <c r="A46" s="312"/>
      <c r="B46" s="311">
        <v>50000</v>
      </c>
      <c r="C46" s="469">
        <v>0</v>
      </c>
      <c r="D46" s="469"/>
      <c r="E46" s="311">
        <v>0</v>
      </c>
      <c r="F46" s="311">
        <v>0</v>
      </c>
      <c r="G46" s="311">
        <v>0</v>
      </c>
      <c r="H46" s="311">
        <v>0</v>
      </c>
      <c r="I46" s="311">
        <v>0</v>
      </c>
      <c r="J46" s="469">
        <v>50000</v>
      </c>
      <c r="K46" s="469"/>
      <c r="L46" s="469">
        <v>0</v>
      </c>
      <c r="M46" s="469"/>
      <c r="N46" s="311">
        <v>0</v>
      </c>
    </row>
    <row r="47" spans="1:14" ht="14.25" customHeight="1" x14ac:dyDescent="0.25">
      <c r="A47" s="483" t="s">
        <v>724</v>
      </c>
      <c r="B47" s="483"/>
      <c r="C47" s="483"/>
      <c r="D47" s="483"/>
      <c r="E47" s="483"/>
      <c r="F47" s="483"/>
      <c r="G47" s="483"/>
      <c r="H47" s="483"/>
      <c r="I47" s="483"/>
      <c r="J47" s="483"/>
      <c r="K47" s="483"/>
      <c r="L47" s="483"/>
      <c r="M47" s="483"/>
      <c r="N47" s="483"/>
    </row>
    <row r="48" spans="1:14" ht="14.25" customHeight="1" x14ac:dyDescent="0.25">
      <c r="A48" s="314"/>
      <c r="B48" s="313">
        <v>100000</v>
      </c>
      <c r="C48" s="468">
        <v>0</v>
      </c>
      <c r="D48" s="468"/>
      <c r="E48" s="313">
        <v>0</v>
      </c>
      <c r="F48" s="313">
        <v>0</v>
      </c>
      <c r="G48" s="313">
        <v>0</v>
      </c>
      <c r="H48" s="313">
        <v>0</v>
      </c>
      <c r="I48" s="313">
        <v>0</v>
      </c>
      <c r="J48" s="468">
        <v>100000</v>
      </c>
      <c r="K48" s="468"/>
      <c r="L48" s="468">
        <v>0</v>
      </c>
      <c r="M48" s="468"/>
      <c r="N48" s="313">
        <v>0</v>
      </c>
    </row>
    <row r="49" spans="1:14" ht="14.25" customHeight="1" x14ac:dyDescent="0.25">
      <c r="A49" s="482" t="s">
        <v>723</v>
      </c>
      <c r="B49" s="482"/>
      <c r="C49" s="482"/>
      <c r="D49" s="482"/>
      <c r="E49" s="482"/>
      <c r="F49" s="482"/>
      <c r="G49" s="482"/>
      <c r="H49" s="482"/>
      <c r="I49" s="482"/>
      <c r="J49" s="482"/>
      <c r="K49" s="482"/>
      <c r="L49" s="482"/>
      <c r="M49" s="482"/>
      <c r="N49" s="482"/>
    </row>
    <row r="50" spans="1:14" ht="14.25" customHeight="1" x14ac:dyDescent="0.25">
      <c r="A50" s="312"/>
      <c r="B50" s="311">
        <v>156018.28</v>
      </c>
      <c r="C50" s="469">
        <v>153432.28</v>
      </c>
      <c r="D50" s="469"/>
      <c r="E50" s="311">
        <v>153432.28</v>
      </c>
      <c r="F50" s="311">
        <v>79052.58</v>
      </c>
      <c r="G50" s="311">
        <v>79052.58</v>
      </c>
      <c r="H50" s="311">
        <v>75397.58</v>
      </c>
      <c r="I50" s="311">
        <v>75397.58</v>
      </c>
      <c r="J50" s="469">
        <v>2586</v>
      </c>
      <c r="K50" s="469"/>
      <c r="L50" s="469">
        <v>74379.7</v>
      </c>
      <c r="M50" s="469"/>
      <c r="N50" s="311">
        <v>3655</v>
      </c>
    </row>
    <row r="51" spans="1:14" ht="14.25" customHeight="1" x14ac:dyDescent="0.25">
      <c r="A51" s="483" t="s">
        <v>722</v>
      </c>
      <c r="B51" s="483"/>
      <c r="C51" s="483"/>
      <c r="D51" s="483"/>
      <c r="E51" s="483"/>
      <c r="F51" s="483"/>
      <c r="G51" s="483"/>
      <c r="H51" s="483"/>
      <c r="I51" s="483"/>
      <c r="J51" s="483"/>
      <c r="K51" s="483"/>
      <c r="L51" s="483"/>
      <c r="M51" s="483"/>
      <c r="N51" s="483"/>
    </row>
    <row r="52" spans="1:14" ht="13.5" customHeight="1" x14ac:dyDescent="0.25">
      <c r="A52" s="314"/>
      <c r="B52" s="313">
        <v>1700000</v>
      </c>
      <c r="C52" s="468">
        <v>0</v>
      </c>
      <c r="D52" s="468"/>
      <c r="E52" s="313">
        <v>0</v>
      </c>
      <c r="F52" s="313">
        <v>0</v>
      </c>
      <c r="G52" s="313">
        <v>0</v>
      </c>
      <c r="H52" s="313">
        <v>0</v>
      </c>
      <c r="I52" s="313">
        <v>0</v>
      </c>
      <c r="J52" s="468">
        <v>1700000</v>
      </c>
      <c r="K52" s="468"/>
      <c r="L52" s="468">
        <v>0</v>
      </c>
      <c r="M52" s="468"/>
      <c r="N52" s="313">
        <v>0</v>
      </c>
    </row>
    <row r="53" spans="1:14" ht="14.25" customHeight="1" x14ac:dyDescent="0.25">
      <c r="A53" s="482" t="s">
        <v>721</v>
      </c>
      <c r="B53" s="482"/>
      <c r="C53" s="482"/>
      <c r="D53" s="482"/>
      <c r="E53" s="482"/>
      <c r="F53" s="482"/>
      <c r="G53" s="482"/>
      <c r="H53" s="482"/>
      <c r="I53" s="482"/>
      <c r="J53" s="482"/>
      <c r="K53" s="482"/>
      <c r="L53" s="482"/>
      <c r="M53" s="482"/>
      <c r="N53" s="482"/>
    </row>
    <row r="54" spans="1:14" ht="14.25" customHeight="1" x14ac:dyDescent="0.25">
      <c r="A54" s="312"/>
      <c r="B54" s="311">
        <v>500000</v>
      </c>
      <c r="C54" s="469">
        <v>0</v>
      </c>
      <c r="D54" s="469"/>
      <c r="E54" s="311">
        <v>0</v>
      </c>
      <c r="F54" s="311">
        <v>0</v>
      </c>
      <c r="G54" s="311">
        <v>0</v>
      </c>
      <c r="H54" s="311">
        <v>0</v>
      </c>
      <c r="I54" s="311">
        <v>0</v>
      </c>
      <c r="J54" s="469">
        <v>500000</v>
      </c>
      <c r="K54" s="469"/>
      <c r="L54" s="469">
        <v>0</v>
      </c>
      <c r="M54" s="469"/>
      <c r="N54" s="311">
        <v>0</v>
      </c>
    </row>
    <row r="55" spans="1:14" ht="14.25" customHeight="1" x14ac:dyDescent="0.25">
      <c r="A55" s="483" t="s">
        <v>720</v>
      </c>
      <c r="B55" s="483"/>
      <c r="C55" s="483"/>
      <c r="D55" s="483"/>
      <c r="E55" s="483"/>
      <c r="F55" s="483"/>
      <c r="G55" s="483"/>
      <c r="H55" s="483"/>
      <c r="I55" s="483"/>
      <c r="J55" s="483"/>
      <c r="K55" s="483"/>
      <c r="L55" s="483"/>
      <c r="M55" s="483"/>
      <c r="N55" s="483"/>
    </row>
    <row r="56" spans="1:14" ht="14.25" customHeight="1" x14ac:dyDescent="0.25">
      <c r="A56" s="314"/>
      <c r="B56" s="313">
        <v>13000</v>
      </c>
      <c r="C56" s="468">
        <v>0</v>
      </c>
      <c r="D56" s="468"/>
      <c r="E56" s="313">
        <v>0</v>
      </c>
      <c r="F56" s="313">
        <v>0</v>
      </c>
      <c r="G56" s="313">
        <v>0</v>
      </c>
      <c r="H56" s="313">
        <v>0</v>
      </c>
      <c r="I56" s="313">
        <v>0</v>
      </c>
      <c r="J56" s="468">
        <v>13000</v>
      </c>
      <c r="K56" s="468"/>
      <c r="L56" s="468">
        <v>0</v>
      </c>
      <c r="M56" s="468"/>
      <c r="N56" s="313">
        <v>0</v>
      </c>
    </row>
    <row r="57" spans="1:14" ht="14.25" customHeight="1" x14ac:dyDescent="0.25">
      <c r="A57" s="482" t="s">
        <v>719</v>
      </c>
      <c r="B57" s="482"/>
      <c r="C57" s="482"/>
      <c r="D57" s="482"/>
      <c r="E57" s="482"/>
      <c r="F57" s="482"/>
      <c r="G57" s="482"/>
      <c r="H57" s="482"/>
      <c r="I57" s="482"/>
      <c r="J57" s="482"/>
      <c r="K57" s="482"/>
      <c r="L57" s="482"/>
      <c r="M57" s="482"/>
      <c r="N57" s="482"/>
    </row>
    <row r="58" spans="1:14" ht="14.25" customHeight="1" x14ac:dyDescent="0.25">
      <c r="A58" s="312"/>
      <c r="B58" s="311">
        <v>70000</v>
      </c>
      <c r="C58" s="469">
        <v>10000</v>
      </c>
      <c r="D58" s="469"/>
      <c r="E58" s="311">
        <v>10000</v>
      </c>
      <c r="F58" s="311">
        <v>0</v>
      </c>
      <c r="G58" s="311">
        <v>0</v>
      </c>
      <c r="H58" s="311">
        <v>0</v>
      </c>
      <c r="I58" s="311">
        <v>0</v>
      </c>
      <c r="J58" s="469">
        <v>60000</v>
      </c>
      <c r="K58" s="469"/>
      <c r="L58" s="469">
        <v>10000</v>
      </c>
      <c r="M58" s="469"/>
      <c r="N58" s="311">
        <v>0</v>
      </c>
    </row>
    <row r="59" spans="1:14" ht="14.25" customHeight="1" x14ac:dyDescent="0.25">
      <c r="A59" s="476" t="s">
        <v>718</v>
      </c>
      <c r="B59" s="476"/>
      <c r="C59" s="476"/>
      <c r="D59" s="476"/>
      <c r="E59" s="476"/>
      <c r="F59" s="476"/>
      <c r="G59" s="476"/>
      <c r="H59" s="476"/>
      <c r="I59" s="476"/>
      <c r="J59" s="476"/>
      <c r="K59" s="476"/>
      <c r="L59" s="476"/>
      <c r="M59" s="476"/>
      <c r="N59" s="476"/>
    </row>
    <row r="60" spans="1:14" ht="14.25" customHeight="1" x14ac:dyDescent="0.25">
      <c r="A60" s="314"/>
      <c r="B60" s="313">
        <v>856916.27</v>
      </c>
      <c r="C60" s="468">
        <v>576372.51</v>
      </c>
      <c r="D60" s="468"/>
      <c r="E60" s="313">
        <v>576372.51</v>
      </c>
      <c r="F60" s="313">
        <v>220343.06</v>
      </c>
      <c r="G60" s="313">
        <v>220343.06</v>
      </c>
      <c r="H60" s="313">
        <v>204674.01</v>
      </c>
      <c r="I60" s="313">
        <v>204674.01</v>
      </c>
      <c r="J60" s="468">
        <v>280543.76</v>
      </c>
      <c r="K60" s="468"/>
      <c r="L60" s="468">
        <v>356029.45</v>
      </c>
      <c r="M60" s="468"/>
      <c r="N60" s="313">
        <v>15669.05</v>
      </c>
    </row>
    <row r="61" spans="1:14" ht="14.25" customHeight="1" x14ac:dyDescent="0.25">
      <c r="A61" s="482" t="s">
        <v>717</v>
      </c>
      <c r="B61" s="482"/>
      <c r="C61" s="482"/>
      <c r="D61" s="482"/>
      <c r="E61" s="482"/>
      <c r="F61" s="482"/>
      <c r="G61" s="482"/>
      <c r="H61" s="482"/>
      <c r="I61" s="482"/>
      <c r="J61" s="482"/>
      <c r="K61" s="482"/>
      <c r="L61" s="482"/>
      <c r="M61" s="482"/>
      <c r="N61" s="482"/>
    </row>
    <row r="62" spans="1:14" ht="13.5" customHeight="1" x14ac:dyDescent="0.25">
      <c r="A62" s="312"/>
      <c r="B62" s="311">
        <v>137299</v>
      </c>
      <c r="C62" s="469">
        <v>160</v>
      </c>
      <c r="D62" s="469"/>
      <c r="E62" s="311">
        <v>160</v>
      </c>
      <c r="F62" s="311">
        <v>160</v>
      </c>
      <c r="G62" s="311">
        <v>160</v>
      </c>
      <c r="H62" s="311">
        <v>160</v>
      </c>
      <c r="I62" s="311">
        <v>160</v>
      </c>
      <c r="J62" s="469">
        <v>137139</v>
      </c>
      <c r="K62" s="469"/>
      <c r="L62" s="469">
        <v>0</v>
      </c>
      <c r="M62" s="469"/>
      <c r="N62" s="311">
        <v>0</v>
      </c>
    </row>
    <row r="63" spans="1:14" ht="14.25" customHeight="1" x14ac:dyDescent="0.25">
      <c r="A63" s="483" t="s">
        <v>716</v>
      </c>
      <c r="B63" s="483"/>
      <c r="C63" s="483"/>
      <c r="D63" s="483"/>
      <c r="E63" s="483"/>
      <c r="F63" s="483"/>
      <c r="G63" s="483"/>
      <c r="H63" s="483"/>
      <c r="I63" s="483"/>
      <c r="J63" s="483"/>
      <c r="K63" s="483"/>
      <c r="L63" s="483"/>
      <c r="M63" s="483"/>
      <c r="N63" s="483"/>
    </row>
    <row r="64" spans="1:14" ht="14.25" customHeight="1" x14ac:dyDescent="0.25">
      <c r="A64" s="314"/>
      <c r="B64" s="313">
        <v>75500</v>
      </c>
      <c r="C64" s="468">
        <v>3500</v>
      </c>
      <c r="D64" s="468"/>
      <c r="E64" s="313">
        <v>3500</v>
      </c>
      <c r="F64" s="313">
        <v>363.44</v>
      </c>
      <c r="G64" s="313">
        <v>363.44</v>
      </c>
      <c r="H64" s="313">
        <v>363.44</v>
      </c>
      <c r="I64" s="313">
        <v>363.44</v>
      </c>
      <c r="J64" s="468">
        <v>72000</v>
      </c>
      <c r="K64" s="468"/>
      <c r="L64" s="468">
        <v>3136.56</v>
      </c>
      <c r="M64" s="468"/>
      <c r="N64" s="313">
        <v>0</v>
      </c>
    </row>
    <row r="65" spans="1:14" ht="14.25" customHeight="1" x14ac:dyDescent="0.25">
      <c r="A65" s="482" t="s">
        <v>715</v>
      </c>
      <c r="B65" s="482"/>
      <c r="C65" s="482"/>
      <c r="D65" s="482"/>
      <c r="E65" s="482"/>
      <c r="F65" s="482"/>
      <c r="G65" s="482"/>
      <c r="H65" s="482"/>
      <c r="I65" s="482"/>
      <c r="J65" s="482"/>
      <c r="K65" s="482"/>
      <c r="L65" s="482"/>
      <c r="M65" s="482"/>
      <c r="N65" s="482"/>
    </row>
    <row r="66" spans="1:14" ht="14.25" customHeight="1" x14ac:dyDescent="0.25">
      <c r="A66" s="312"/>
      <c r="B66" s="311">
        <v>31000</v>
      </c>
      <c r="C66" s="469">
        <v>2000</v>
      </c>
      <c r="D66" s="469"/>
      <c r="E66" s="311">
        <v>2000</v>
      </c>
      <c r="F66" s="311">
        <v>0</v>
      </c>
      <c r="G66" s="311">
        <v>0</v>
      </c>
      <c r="H66" s="311">
        <v>0</v>
      </c>
      <c r="I66" s="311">
        <v>0</v>
      </c>
      <c r="J66" s="469">
        <v>29000</v>
      </c>
      <c r="K66" s="469"/>
      <c r="L66" s="469">
        <v>2000</v>
      </c>
      <c r="M66" s="469"/>
      <c r="N66" s="311">
        <v>0</v>
      </c>
    </row>
    <row r="67" spans="1:14" ht="14.25" customHeight="1" x14ac:dyDescent="0.25">
      <c r="A67" s="483" t="s">
        <v>714</v>
      </c>
      <c r="B67" s="483"/>
      <c r="C67" s="483"/>
      <c r="D67" s="483"/>
      <c r="E67" s="483"/>
      <c r="F67" s="483"/>
      <c r="G67" s="483"/>
      <c r="H67" s="483"/>
      <c r="I67" s="483"/>
      <c r="J67" s="483"/>
      <c r="K67" s="483"/>
      <c r="L67" s="483"/>
      <c r="M67" s="483"/>
      <c r="N67" s="483"/>
    </row>
    <row r="68" spans="1:14" ht="14.25" customHeight="1" x14ac:dyDescent="0.25">
      <c r="A68" s="314"/>
      <c r="B68" s="313">
        <v>613117.27</v>
      </c>
      <c r="C68" s="468">
        <v>570712.51</v>
      </c>
      <c r="D68" s="468"/>
      <c r="E68" s="313">
        <v>570712.51</v>
      </c>
      <c r="F68" s="313">
        <v>219819.62</v>
      </c>
      <c r="G68" s="313">
        <v>219819.62</v>
      </c>
      <c r="H68" s="313">
        <v>204150.57</v>
      </c>
      <c r="I68" s="313">
        <v>204150.57</v>
      </c>
      <c r="J68" s="468">
        <v>42404.76</v>
      </c>
      <c r="K68" s="468"/>
      <c r="L68" s="468">
        <v>350892.89</v>
      </c>
      <c r="M68" s="468"/>
      <c r="N68" s="313">
        <v>15669.05</v>
      </c>
    </row>
    <row r="69" spans="1:14" ht="14.25" customHeight="1" x14ac:dyDescent="0.25">
      <c r="A69" s="480" t="s">
        <v>713</v>
      </c>
      <c r="B69" s="480"/>
      <c r="C69" s="480"/>
      <c r="D69" s="480"/>
      <c r="E69" s="480"/>
      <c r="F69" s="480"/>
      <c r="G69" s="480"/>
      <c r="H69" s="480"/>
      <c r="I69" s="480"/>
      <c r="J69" s="480"/>
      <c r="K69" s="480"/>
      <c r="L69" s="480"/>
      <c r="M69" s="480"/>
      <c r="N69" s="480"/>
    </row>
    <row r="70" spans="1:14" ht="14.25" customHeight="1" x14ac:dyDescent="0.25">
      <c r="A70" s="312"/>
      <c r="B70" s="311">
        <v>80000</v>
      </c>
      <c r="C70" s="469">
        <v>80000</v>
      </c>
      <c r="D70" s="469"/>
      <c r="E70" s="311">
        <v>80000</v>
      </c>
      <c r="F70" s="311">
        <v>37755.370000000003</v>
      </c>
      <c r="G70" s="311">
        <v>37755.370000000003</v>
      </c>
      <c r="H70" s="311">
        <v>36230.29</v>
      </c>
      <c r="I70" s="311">
        <v>36230.29</v>
      </c>
      <c r="J70" s="469">
        <v>0</v>
      </c>
      <c r="K70" s="469"/>
      <c r="L70" s="469">
        <v>42244.63</v>
      </c>
      <c r="M70" s="469"/>
      <c r="N70" s="311">
        <v>1525.08</v>
      </c>
    </row>
    <row r="71" spans="1:14" ht="14.25" customHeight="1" x14ac:dyDescent="0.25">
      <c r="A71" s="483" t="s">
        <v>712</v>
      </c>
      <c r="B71" s="483"/>
      <c r="C71" s="483"/>
      <c r="D71" s="483"/>
      <c r="E71" s="483"/>
      <c r="F71" s="483"/>
      <c r="G71" s="483"/>
      <c r="H71" s="483"/>
      <c r="I71" s="483"/>
      <c r="J71" s="483"/>
      <c r="K71" s="483"/>
      <c r="L71" s="483"/>
      <c r="M71" s="483"/>
      <c r="N71" s="483"/>
    </row>
    <row r="72" spans="1:14" ht="13.5" customHeight="1" x14ac:dyDescent="0.25">
      <c r="A72" s="314"/>
      <c r="B72" s="313">
        <v>80000</v>
      </c>
      <c r="C72" s="468">
        <v>80000</v>
      </c>
      <c r="D72" s="468"/>
      <c r="E72" s="313">
        <v>80000</v>
      </c>
      <c r="F72" s="313">
        <v>37755.370000000003</v>
      </c>
      <c r="G72" s="313">
        <v>37755.370000000003</v>
      </c>
      <c r="H72" s="313">
        <v>36230.29</v>
      </c>
      <c r="I72" s="313">
        <v>36230.29</v>
      </c>
      <c r="J72" s="468">
        <v>0</v>
      </c>
      <c r="K72" s="468"/>
      <c r="L72" s="468">
        <v>42244.63</v>
      </c>
      <c r="M72" s="468"/>
      <c r="N72" s="313">
        <v>1525.08</v>
      </c>
    </row>
    <row r="73" spans="1:14" ht="14.25" customHeight="1" x14ac:dyDescent="0.25">
      <c r="A73" s="480" t="s">
        <v>711</v>
      </c>
      <c r="B73" s="480"/>
      <c r="C73" s="480"/>
      <c r="D73" s="480"/>
      <c r="E73" s="480"/>
      <c r="F73" s="480"/>
      <c r="G73" s="480"/>
      <c r="H73" s="480"/>
      <c r="I73" s="480"/>
      <c r="J73" s="480"/>
      <c r="K73" s="480"/>
      <c r="L73" s="480"/>
      <c r="M73" s="480"/>
      <c r="N73" s="480"/>
    </row>
    <row r="74" spans="1:14" ht="14.25" customHeight="1" x14ac:dyDescent="0.25">
      <c r="A74" s="312"/>
      <c r="B74" s="311">
        <v>205122.7</v>
      </c>
      <c r="C74" s="469">
        <v>201622.7</v>
      </c>
      <c r="D74" s="469"/>
      <c r="E74" s="311">
        <v>201622.7</v>
      </c>
      <c r="F74" s="311">
        <v>65532.52</v>
      </c>
      <c r="G74" s="311">
        <v>65532.52</v>
      </c>
      <c r="H74" s="311">
        <v>62347.19</v>
      </c>
      <c r="I74" s="311">
        <v>62347.19</v>
      </c>
      <c r="J74" s="469">
        <v>3500</v>
      </c>
      <c r="K74" s="469"/>
      <c r="L74" s="469">
        <v>136090.18</v>
      </c>
      <c r="M74" s="469"/>
      <c r="N74" s="311">
        <v>3185.33</v>
      </c>
    </row>
    <row r="75" spans="1:14" ht="14.25" customHeight="1" x14ac:dyDescent="0.25">
      <c r="A75" s="483" t="s">
        <v>710</v>
      </c>
      <c r="B75" s="483"/>
      <c r="C75" s="483"/>
      <c r="D75" s="483"/>
      <c r="E75" s="483"/>
      <c r="F75" s="483"/>
      <c r="G75" s="483"/>
      <c r="H75" s="483"/>
      <c r="I75" s="483"/>
      <c r="J75" s="483"/>
      <c r="K75" s="483"/>
      <c r="L75" s="483"/>
      <c r="M75" s="483"/>
      <c r="N75" s="483"/>
    </row>
    <row r="76" spans="1:14" ht="14.25" customHeight="1" x14ac:dyDescent="0.25">
      <c r="A76" s="314"/>
      <c r="B76" s="313">
        <v>205122.7</v>
      </c>
      <c r="C76" s="468">
        <v>201622.7</v>
      </c>
      <c r="D76" s="468"/>
      <c r="E76" s="313">
        <v>201622.7</v>
      </c>
      <c r="F76" s="313">
        <v>65532.52</v>
      </c>
      <c r="G76" s="313">
        <v>65532.52</v>
      </c>
      <c r="H76" s="313">
        <v>62347.19</v>
      </c>
      <c r="I76" s="313">
        <v>62347.19</v>
      </c>
      <c r="J76" s="468">
        <v>3500</v>
      </c>
      <c r="K76" s="468"/>
      <c r="L76" s="468">
        <v>136090.18</v>
      </c>
      <c r="M76" s="468"/>
      <c r="N76" s="313">
        <v>3185.33</v>
      </c>
    </row>
    <row r="77" spans="1:14" ht="14.25" customHeight="1" x14ac:dyDescent="0.25">
      <c r="A77" s="480" t="s">
        <v>709</v>
      </c>
      <c r="B77" s="480"/>
      <c r="C77" s="480"/>
      <c r="D77" s="480"/>
      <c r="E77" s="480"/>
      <c r="F77" s="480"/>
      <c r="G77" s="480"/>
      <c r="H77" s="480"/>
      <c r="I77" s="480"/>
      <c r="J77" s="480"/>
      <c r="K77" s="480"/>
      <c r="L77" s="480"/>
      <c r="M77" s="480"/>
      <c r="N77" s="480"/>
    </row>
    <row r="78" spans="1:14" ht="14.25" customHeight="1" x14ac:dyDescent="0.25">
      <c r="A78" s="312"/>
      <c r="B78" s="311">
        <v>160808.57999999999</v>
      </c>
      <c r="C78" s="469">
        <v>160808.57999999999</v>
      </c>
      <c r="D78" s="469"/>
      <c r="E78" s="311">
        <v>160808.57999999999</v>
      </c>
      <c r="F78" s="311">
        <v>37241.519999999997</v>
      </c>
      <c r="G78" s="311">
        <v>37241.519999999997</v>
      </c>
      <c r="H78" s="311">
        <v>37241.519999999997</v>
      </c>
      <c r="I78" s="311">
        <v>37241.519999999997</v>
      </c>
      <c r="J78" s="469">
        <v>0</v>
      </c>
      <c r="K78" s="469"/>
      <c r="L78" s="469">
        <v>123567.06</v>
      </c>
      <c r="M78" s="469"/>
      <c r="N78" s="311">
        <v>0</v>
      </c>
    </row>
    <row r="79" spans="1:14" ht="14.25" customHeight="1" x14ac:dyDescent="0.25">
      <c r="A79" s="483" t="s">
        <v>708</v>
      </c>
      <c r="B79" s="483"/>
      <c r="C79" s="483"/>
      <c r="D79" s="483"/>
      <c r="E79" s="483"/>
      <c r="F79" s="483"/>
      <c r="G79" s="483"/>
      <c r="H79" s="483"/>
      <c r="I79" s="483"/>
      <c r="J79" s="483"/>
      <c r="K79" s="483"/>
      <c r="L79" s="483"/>
      <c r="M79" s="483"/>
      <c r="N79" s="483"/>
    </row>
    <row r="80" spans="1:14" ht="14.25" customHeight="1" x14ac:dyDescent="0.25">
      <c r="A80" s="314"/>
      <c r="B80" s="313">
        <v>160808.57999999999</v>
      </c>
      <c r="C80" s="468">
        <v>160808.57999999999</v>
      </c>
      <c r="D80" s="468"/>
      <c r="E80" s="313">
        <v>160808.57999999999</v>
      </c>
      <c r="F80" s="313">
        <v>37241.519999999997</v>
      </c>
      <c r="G80" s="313">
        <v>37241.519999999997</v>
      </c>
      <c r="H80" s="313">
        <v>37241.519999999997</v>
      </c>
      <c r="I80" s="313">
        <v>37241.519999999997</v>
      </c>
      <c r="J80" s="468">
        <v>0</v>
      </c>
      <c r="K80" s="468"/>
      <c r="L80" s="468">
        <v>123567.06</v>
      </c>
      <c r="M80" s="468"/>
      <c r="N80" s="313">
        <v>0</v>
      </c>
    </row>
    <row r="81" spans="1:14" ht="13.5" customHeight="1" x14ac:dyDescent="0.25">
      <c r="A81" s="480" t="s">
        <v>707</v>
      </c>
      <c r="B81" s="480"/>
      <c r="C81" s="480"/>
      <c r="D81" s="480"/>
      <c r="E81" s="480"/>
      <c r="F81" s="480"/>
      <c r="G81" s="480"/>
      <c r="H81" s="480"/>
      <c r="I81" s="480"/>
      <c r="J81" s="480"/>
      <c r="K81" s="480"/>
      <c r="L81" s="480"/>
      <c r="M81" s="480"/>
      <c r="N81" s="480"/>
    </row>
    <row r="82" spans="1:14" ht="14.25" customHeight="1" x14ac:dyDescent="0.25">
      <c r="A82" s="312"/>
      <c r="B82" s="311">
        <v>725329.58</v>
      </c>
      <c r="C82" s="469">
        <v>606475.04</v>
      </c>
      <c r="D82" s="469"/>
      <c r="E82" s="311">
        <v>606475.04</v>
      </c>
      <c r="F82" s="311">
        <v>225158.64</v>
      </c>
      <c r="G82" s="311">
        <v>225158.64</v>
      </c>
      <c r="H82" s="311">
        <v>211396.13</v>
      </c>
      <c r="I82" s="311">
        <v>211396.13</v>
      </c>
      <c r="J82" s="469">
        <v>118854.54</v>
      </c>
      <c r="K82" s="469"/>
      <c r="L82" s="469">
        <v>381316.4</v>
      </c>
      <c r="M82" s="469"/>
      <c r="N82" s="311">
        <v>13762.51</v>
      </c>
    </row>
    <row r="83" spans="1:14" ht="14.25" customHeight="1" x14ac:dyDescent="0.25">
      <c r="A83" s="483" t="s">
        <v>706</v>
      </c>
      <c r="B83" s="483"/>
      <c r="C83" s="483"/>
      <c r="D83" s="483"/>
      <c r="E83" s="483"/>
      <c r="F83" s="483"/>
      <c r="G83" s="483"/>
      <c r="H83" s="483"/>
      <c r="I83" s="483"/>
      <c r="J83" s="483"/>
      <c r="K83" s="483"/>
      <c r="L83" s="483"/>
      <c r="M83" s="483"/>
      <c r="N83" s="483"/>
    </row>
    <row r="84" spans="1:14" ht="14.25" customHeight="1" x14ac:dyDescent="0.25">
      <c r="A84" s="314"/>
      <c r="B84" s="313">
        <v>391808.58</v>
      </c>
      <c r="C84" s="468">
        <v>332954.03999999998</v>
      </c>
      <c r="D84" s="468"/>
      <c r="E84" s="313">
        <v>332954.03999999998</v>
      </c>
      <c r="F84" s="313">
        <v>111191.59</v>
      </c>
      <c r="G84" s="313">
        <v>111191.59</v>
      </c>
      <c r="H84" s="313">
        <v>97429.08</v>
      </c>
      <c r="I84" s="313">
        <v>97429.08</v>
      </c>
      <c r="J84" s="468">
        <v>58854.54</v>
      </c>
      <c r="K84" s="468"/>
      <c r="L84" s="468">
        <v>221762.45</v>
      </c>
      <c r="M84" s="468"/>
      <c r="N84" s="313">
        <v>13762.51</v>
      </c>
    </row>
    <row r="85" spans="1:14" ht="14.25" customHeight="1" x14ac:dyDescent="0.25">
      <c r="A85" s="482" t="s">
        <v>705</v>
      </c>
      <c r="B85" s="482"/>
      <c r="C85" s="482"/>
      <c r="D85" s="482"/>
      <c r="E85" s="482"/>
      <c r="F85" s="482"/>
      <c r="G85" s="482"/>
      <c r="H85" s="482"/>
      <c r="I85" s="482"/>
      <c r="J85" s="482"/>
      <c r="K85" s="482"/>
      <c r="L85" s="482"/>
      <c r="M85" s="482"/>
      <c r="N85" s="482"/>
    </row>
    <row r="86" spans="1:14" ht="14.25" customHeight="1" x14ac:dyDescent="0.25">
      <c r="A86" s="312"/>
      <c r="B86" s="311">
        <v>62980</v>
      </c>
      <c r="C86" s="469">
        <v>62980</v>
      </c>
      <c r="D86" s="469"/>
      <c r="E86" s="311">
        <v>62980</v>
      </c>
      <c r="F86" s="311">
        <v>26241.65</v>
      </c>
      <c r="G86" s="311">
        <v>26241.65</v>
      </c>
      <c r="H86" s="311">
        <v>26241.65</v>
      </c>
      <c r="I86" s="311">
        <v>26241.65</v>
      </c>
      <c r="J86" s="469">
        <v>0</v>
      </c>
      <c r="K86" s="469"/>
      <c r="L86" s="469">
        <v>36738.35</v>
      </c>
      <c r="M86" s="469"/>
      <c r="N86" s="311">
        <v>0</v>
      </c>
    </row>
    <row r="87" spans="1:14" ht="14.25" customHeight="1" x14ac:dyDescent="0.25">
      <c r="A87" s="483" t="s">
        <v>704</v>
      </c>
      <c r="B87" s="483"/>
      <c r="C87" s="483"/>
      <c r="D87" s="483"/>
      <c r="E87" s="483"/>
      <c r="F87" s="483"/>
      <c r="G87" s="483"/>
      <c r="H87" s="483"/>
      <c r="I87" s="483"/>
      <c r="J87" s="483"/>
      <c r="K87" s="483"/>
      <c r="L87" s="483"/>
      <c r="M87" s="483"/>
      <c r="N87" s="483"/>
    </row>
    <row r="88" spans="1:14" ht="14.25" customHeight="1" x14ac:dyDescent="0.25">
      <c r="A88" s="314"/>
      <c r="B88" s="313">
        <v>60000</v>
      </c>
      <c r="C88" s="468">
        <v>0</v>
      </c>
      <c r="D88" s="468"/>
      <c r="E88" s="313">
        <v>0</v>
      </c>
      <c r="F88" s="313">
        <v>0</v>
      </c>
      <c r="G88" s="313">
        <v>0</v>
      </c>
      <c r="H88" s="313">
        <v>0</v>
      </c>
      <c r="I88" s="313">
        <v>0</v>
      </c>
      <c r="J88" s="468">
        <v>60000</v>
      </c>
      <c r="K88" s="468"/>
      <c r="L88" s="468">
        <v>0</v>
      </c>
      <c r="M88" s="468"/>
      <c r="N88" s="313">
        <v>0</v>
      </c>
    </row>
    <row r="89" spans="1:14" ht="14.25" customHeight="1" x14ac:dyDescent="0.25">
      <c r="A89" s="482" t="s">
        <v>703</v>
      </c>
      <c r="B89" s="482"/>
      <c r="C89" s="482"/>
      <c r="D89" s="482"/>
      <c r="E89" s="482"/>
      <c r="F89" s="482"/>
      <c r="G89" s="482"/>
      <c r="H89" s="482"/>
      <c r="I89" s="482"/>
      <c r="J89" s="482"/>
      <c r="K89" s="482"/>
      <c r="L89" s="482"/>
      <c r="M89" s="482"/>
      <c r="N89" s="482"/>
    </row>
    <row r="90" spans="1:14" ht="14.25" customHeight="1" x14ac:dyDescent="0.25">
      <c r="A90" s="312"/>
      <c r="B90" s="311">
        <v>177697</v>
      </c>
      <c r="C90" s="469">
        <v>177697</v>
      </c>
      <c r="D90" s="469"/>
      <c r="E90" s="311">
        <v>177697</v>
      </c>
      <c r="F90" s="311">
        <v>71513.75</v>
      </c>
      <c r="G90" s="311">
        <v>71513.75</v>
      </c>
      <c r="H90" s="311">
        <v>71513.75</v>
      </c>
      <c r="I90" s="311">
        <v>71513.75</v>
      </c>
      <c r="J90" s="469">
        <v>0</v>
      </c>
      <c r="K90" s="469"/>
      <c r="L90" s="469">
        <v>106183.25</v>
      </c>
      <c r="M90" s="469"/>
      <c r="N90" s="311">
        <v>0</v>
      </c>
    </row>
    <row r="91" spans="1:14" ht="13.5" customHeight="1" x14ac:dyDescent="0.25">
      <c r="A91" s="483" t="s">
        <v>702</v>
      </c>
      <c r="B91" s="483"/>
      <c r="C91" s="483"/>
      <c r="D91" s="483"/>
      <c r="E91" s="483"/>
      <c r="F91" s="483"/>
      <c r="G91" s="483"/>
      <c r="H91" s="483"/>
      <c r="I91" s="483"/>
      <c r="J91" s="483"/>
      <c r="K91" s="483"/>
      <c r="L91" s="483"/>
      <c r="M91" s="483"/>
      <c r="N91" s="483"/>
    </row>
    <row r="92" spans="1:14" ht="14.25" customHeight="1" x14ac:dyDescent="0.25">
      <c r="A92" s="314"/>
      <c r="B92" s="313">
        <v>32844</v>
      </c>
      <c r="C92" s="468">
        <v>32844</v>
      </c>
      <c r="D92" s="468"/>
      <c r="E92" s="313">
        <v>32844</v>
      </c>
      <c r="F92" s="313">
        <v>16211.65</v>
      </c>
      <c r="G92" s="313">
        <v>16211.65</v>
      </c>
      <c r="H92" s="313">
        <v>16211.65</v>
      </c>
      <c r="I92" s="313">
        <v>16211.65</v>
      </c>
      <c r="J92" s="468">
        <v>0</v>
      </c>
      <c r="K92" s="468"/>
      <c r="L92" s="468">
        <v>16632.349999999999</v>
      </c>
      <c r="M92" s="468"/>
      <c r="N92" s="313">
        <v>0</v>
      </c>
    </row>
    <row r="93" spans="1:14" ht="14.25" customHeight="1" x14ac:dyDescent="0.25">
      <c r="A93" s="480" t="s">
        <v>701</v>
      </c>
      <c r="B93" s="480"/>
      <c r="C93" s="480"/>
      <c r="D93" s="480"/>
      <c r="E93" s="480"/>
      <c r="F93" s="480"/>
      <c r="G93" s="480"/>
      <c r="H93" s="480"/>
      <c r="I93" s="480"/>
      <c r="J93" s="480"/>
      <c r="K93" s="480"/>
      <c r="L93" s="480"/>
      <c r="M93" s="480"/>
      <c r="N93" s="480"/>
    </row>
    <row r="94" spans="1:14" ht="14.25" customHeight="1" x14ac:dyDescent="0.25">
      <c r="A94" s="312"/>
      <c r="B94" s="311">
        <v>202332.58</v>
      </c>
      <c r="C94" s="469">
        <v>190024.18</v>
      </c>
      <c r="D94" s="469"/>
      <c r="E94" s="311">
        <v>190024.18</v>
      </c>
      <c r="F94" s="311">
        <v>56776.6</v>
      </c>
      <c r="G94" s="311">
        <v>56776.6</v>
      </c>
      <c r="H94" s="311">
        <v>54400.12</v>
      </c>
      <c r="I94" s="311">
        <v>54400.12</v>
      </c>
      <c r="J94" s="469">
        <v>12308.4</v>
      </c>
      <c r="K94" s="469"/>
      <c r="L94" s="469">
        <v>133247.57999999999</v>
      </c>
      <c r="M94" s="469"/>
      <c r="N94" s="311">
        <v>2376.48</v>
      </c>
    </row>
    <row r="95" spans="1:14" ht="14.25" customHeight="1" x14ac:dyDescent="0.25">
      <c r="A95" s="483" t="s">
        <v>700</v>
      </c>
      <c r="B95" s="483"/>
      <c r="C95" s="483"/>
      <c r="D95" s="483"/>
      <c r="E95" s="483"/>
      <c r="F95" s="483"/>
      <c r="G95" s="483"/>
      <c r="H95" s="483"/>
      <c r="I95" s="483"/>
      <c r="J95" s="483"/>
      <c r="K95" s="483"/>
      <c r="L95" s="483"/>
      <c r="M95" s="483"/>
      <c r="N95" s="483"/>
    </row>
    <row r="96" spans="1:14" ht="14.25" customHeight="1" x14ac:dyDescent="0.25">
      <c r="A96" s="314"/>
      <c r="B96" s="313">
        <v>202332.58</v>
      </c>
      <c r="C96" s="468">
        <v>190024.18</v>
      </c>
      <c r="D96" s="468"/>
      <c r="E96" s="313">
        <v>190024.18</v>
      </c>
      <c r="F96" s="313">
        <v>56776.6</v>
      </c>
      <c r="G96" s="313">
        <v>56776.6</v>
      </c>
      <c r="H96" s="313">
        <v>54400.12</v>
      </c>
      <c r="I96" s="313">
        <v>54400.12</v>
      </c>
      <c r="J96" s="468">
        <v>12308.4</v>
      </c>
      <c r="K96" s="468"/>
      <c r="L96" s="468">
        <v>133247.57999999999</v>
      </c>
      <c r="M96" s="468"/>
      <c r="N96" s="313">
        <v>2376.48</v>
      </c>
    </row>
    <row r="97" spans="1:15" ht="14.25" customHeight="1" x14ac:dyDescent="0.25">
      <c r="A97" s="480" t="s">
        <v>699</v>
      </c>
      <c r="B97" s="480"/>
      <c r="C97" s="480"/>
      <c r="D97" s="480"/>
      <c r="E97" s="480"/>
      <c r="F97" s="480"/>
      <c r="G97" s="480"/>
      <c r="H97" s="480"/>
      <c r="I97" s="480"/>
      <c r="J97" s="480"/>
      <c r="K97" s="480"/>
      <c r="L97" s="480"/>
      <c r="M97" s="480"/>
      <c r="N97" s="480"/>
    </row>
    <row r="98" spans="1:15" ht="14.25" customHeight="1" x14ac:dyDescent="0.25">
      <c r="A98" s="312"/>
      <c r="B98" s="311">
        <v>276514.40999999997</v>
      </c>
      <c r="C98" s="469">
        <v>265486.84999999998</v>
      </c>
      <c r="D98" s="469"/>
      <c r="E98" s="311">
        <v>265486.84999999998</v>
      </c>
      <c r="F98" s="311">
        <v>98491.01</v>
      </c>
      <c r="G98" s="311">
        <v>98491.01</v>
      </c>
      <c r="H98" s="311">
        <v>93837.19</v>
      </c>
      <c r="I98" s="311">
        <v>93837.19</v>
      </c>
      <c r="J98" s="469">
        <v>11027.56</v>
      </c>
      <c r="K98" s="469"/>
      <c r="L98" s="469">
        <v>166995.84</v>
      </c>
      <c r="M98" s="469"/>
      <c r="N98" s="311">
        <v>4653.82</v>
      </c>
    </row>
    <row r="99" spans="1:15" ht="14.25" customHeight="1" x14ac:dyDescent="0.25">
      <c r="A99" s="483" t="s">
        <v>698</v>
      </c>
      <c r="B99" s="483"/>
      <c r="C99" s="483"/>
      <c r="D99" s="483"/>
      <c r="E99" s="483"/>
      <c r="F99" s="483"/>
      <c r="G99" s="483"/>
      <c r="H99" s="483"/>
      <c r="I99" s="483"/>
      <c r="J99" s="483"/>
      <c r="K99" s="483"/>
      <c r="L99" s="483"/>
      <c r="M99" s="483"/>
      <c r="N99" s="483"/>
    </row>
    <row r="100" spans="1:15" ht="14.25" customHeight="1" x14ac:dyDescent="0.25">
      <c r="A100" s="314"/>
      <c r="B100" s="313">
        <v>276514.40999999997</v>
      </c>
      <c r="C100" s="468">
        <v>265486.84999999998</v>
      </c>
      <c r="D100" s="468"/>
      <c r="E100" s="313">
        <v>265486.84999999998</v>
      </c>
      <c r="F100" s="313">
        <v>98491.01</v>
      </c>
      <c r="G100" s="313">
        <v>98491.01</v>
      </c>
      <c r="H100" s="313">
        <v>93837.19</v>
      </c>
      <c r="I100" s="313">
        <v>93837.19</v>
      </c>
      <c r="J100" s="468">
        <v>11027.56</v>
      </c>
      <c r="K100" s="468"/>
      <c r="L100" s="468">
        <v>166995.84</v>
      </c>
      <c r="M100" s="468"/>
      <c r="N100" s="313">
        <v>4653.82</v>
      </c>
    </row>
    <row r="101" spans="1:15" ht="13.5" customHeight="1" x14ac:dyDescent="0.25">
      <c r="A101" s="480" t="s">
        <v>697</v>
      </c>
      <c r="B101" s="480"/>
      <c r="C101" s="480"/>
      <c r="D101" s="480"/>
      <c r="E101" s="480"/>
      <c r="F101" s="480"/>
      <c r="G101" s="480"/>
      <c r="H101" s="480"/>
      <c r="I101" s="480"/>
      <c r="J101" s="480"/>
      <c r="K101" s="480"/>
      <c r="L101" s="480"/>
      <c r="M101" s="480"/>
      <c r="N101" s="480"/>
    </row>
    <row r="102" spans="1:15" ht="14.25" customHeight="1" x14ac:dyDescent="0.25">
      <c r="A102" s="312"/>
      <c r="B102" s="311">
        <v>284820.61</v>
      </c>
      <c r="C102" s="469">
        <v>282268.96999999997</v>
      </c>
      <c r="D102" s="469"/>
      <c r="E102" s="311">
        <v>282268.96999999997</v>
      </c>
      <c r="F102" s="311">
        <v>99076.92</v>
      </c>
      <c r="G102" s="311">
        <v>99076.92</v>
      </c>
      <c r="H102" s="311">
        <v>89504.77</v>
      </c>
      <c r="I102" s="311">
        <v>89504.77</v>
      </c>
      <c r="J102" s="469">
        <v>2551.64</v>
      </c>
      <c r="K102" s="469"/>
      <c r="L102" s="469">
        <v>183192.05</v>
      </c>
      <c r="M102" s="469"/>
      <c r="N102" s="311">
        <v>9572.15</v>
      </c>
    </row>
    <row r="103" spans="1:15" ht="14.25" customHeight="1" x14ac:dyDescent="0.25">
      <c r="A103" s="483" t="s">
        <v>696</v>
      </c>
      <c r="B103" s="483"/>
      <c r="C103" s="483"/>
      <c r="D103" s="483"/>
      <c r="E103" s="483"/>
      <c r="F103" s="483"/>
      <c r="G103" s="483"/>
      <c r="H103" s="483"/>
      <c r="I103" s="483"/>
      <c r="J103" s="483"/>
      <c r="K103" s="483"/>
      <c r="L103" s="483"/>
      <c r="M103" s="483"/>
      <c r="N103" s="483"/>
    </row>
    <row r="104" spans="1:15" ht="14.25" customHeight="1" x14ac:dyDescent="0.25">
      <c r="A104" s="314"/>
      <c r="B104" s="313">
        <v>284820.61</v>
      </c>
      <c r="C104" s="468">
        <v>282268.96999999997</v>
      </c>
      <c r="D104" s="468"/>
      <c r="E104" s="313">
        <v>282268.96999999997</v>
      </c>
      <c r="F104" s="313">
        <v>99076.92</v>
      </c>
      <c r="G104" s="313">
        <v>99076.92</v>
      </c>
      <c r="H104" s="313">
        <v>89504.77</v>
      </c>
      <c r="I104" s="313">
        <v>89504.77</v>
      </c>
      <c r="J104" s="468">
        <v>2551.64</v>
      </c>
      <c r="K104" s="468"/>
      <c r="L104" s="468">
        <v>183192.05</v>
      </c>
      <c r="M104" s="468"/>
      <c r="N104" s="313">
        <v>9572.15</v>
      </c>
    </row>
    <row r="105" spans="1:15" ht="14.25" customHeight="1" x14ac:dyDescent="0.25">
      <c r="A105" s="480" t="s">
        <v>3</v>
      </c>
      <c r="B105" s="480"/>
      <c r="C105" s="480"/>
      <c r="D105" s="480"/>
      <c r="E105" s="480"/>
      <c r="F105" s="480"/>
      <c r="G105" s="480"/>
      <c r="H105" s="480"/>
      <c r="I105" s="480"/>
      <c r="J105" s="480"/>
      <c r="K105" s="480"/>
      <c r="L105" s="480"/>
      <c r="M105" s="480"/>
      <c r="N105" s="480"/>
    </row>
    <row r="106" spans="1:15" ht="14.25" customHeight="1" x14ac:dyDescent="0.25">
      <c r="A106" s="312"/>
      <c r="B106" s="311">
        <v>5637426</v>
      </c>
      <c r="C106" s="469">
        <v>2712362.85</v>
      </c>
      <c r="D106" s="469"/>
      <c r="E106" s="311">
        <v>2712362.85</v>
      </c>
      <c r="F106" s="311">
        <v>1000085.24</v>
      </c>
      <c r="G106" s="311">
        <v>1000085.24</v>
      </c>
      <c r="H106" s="311">
        <v>943060.45</v>
      </c>
      <c r="I106" s="311">
        <v>943060.45</v>
      </c>
      <c r="J106" s="469">
        <v>2925063.15</v>
      </c>
      <c r="K106" s="469"/>
      <c r="L106" s="469">
        <v>1712277.61</v>
      </c>
      <c r="M106" s="469"/>
      <c r="N106" s="311">
        <v>57024.79</v>
      </c>
    </row>
    <row r="107" spans="1:15" ht="14.25" customHeight="1" x14ac:dyDescent="0.25"/>
    <row r="108" spans="1:15" ht="12.75" customHeight="1" x14ac:dyDescent="0.25">
      <c r="A108" s="484" t="s">
        <v>695</v>
      </c>
      <c r="B108" s="484"/>
      <c r="C108" s="484"/>
      <c r="D108" s="484"/>
      <c r="E108" s="484"/>
      <c r="F108" s="484"/>
      <c r="G108" s="484"/>
      <c r="H108" s="484"/>
      <c r="I108" s="484"/>
      <c r="J108" s="484"/>
      <c r="K108" s="484"/>
      <c r="L108" s="484"/>
      <c r="M108" s="485" t="s">
        <v>694</v>
      </c>
      <c r="N108" s="485"/>
      <c r="O108" s="485"/>
    </row>
    <row r="109" spans="1:15" ht="20.25" customHeight="1" x14ac:dyDescent="0.25"/>
    <row r="110" spans="1:15" ht="12.75" customHeight="1" x14ac:dyDescent="0.25">
      <c r="M110" s="485" t="s">
        <v>694</v>
      </c>
      <c r="N110" s="485"/>
      <c r="O110" s="485"/>
    </row>
  </sheetData>
  <mergeCells count="203">
    <mergeCell ref="M110:O110"/>
    <mergeCell ref="N14:O14"/>
    <mergeCell ref="L90:M90"/>
    <mergeCell ref="L92:M92"/>
    <mergeCell ref="L94:M94"/>
    <mergeCell ref="L96:M96"/>
    <mergeCell ref="L98:M98"/>
    <mergeCell ref="L100:M100"/>
    <mergeCell ref="L102:M102"/>
    <mergeCell ref="L104:M104"/>
    <mergeCell ref="L106:M106"/>
    <mergeCell ref="L72:M72"/>
    <mergeCell ref="L74:M74"/>
    <mergeCell ref="L76:M76"/>
    <mergeCell ref="L78:M78"/>
    <mergeCell ref="L80:M80"/>
    <mergeCell ref="L82:M82"/>
    <mergeCell ref="L84:M84"/>
    <mergeCell ref="L86:M86"/>
    <mergeCell ref="L88:M88"/>
    <mergeCell ref="A63:N63"/>
    <mergeCell ref="J36:K36"/>
    <mergeCell ref="J38:K38"/>
    <mergeCell ref="J40:K40"/>
    <mergeCell ref="L18:M18"/>
    <mergeCell ref="L20:M20"/>
    <mergeCell ref="L22:M22"/>
    <mergeCell ref="L24:M24"/>
    <mergeCell ref="L26:M26"/>
    <mergeCell ref="L28:M28"/>
    <mergeCell ref="L30:M30"/>
    <mergeCell ref="L32:M32"/>
    <mergeCell ref="L66:M66"/>
    <mergeCell ref="L36:M36"/>
    <mergeCell ref="L38:M38"/>
    <mergeCell ref="L40:M40"/>
    <mergeCell ref="L42:M42"/>
    <mergeCell ref="L44:M44"/>
    <mergeCell ref="L46:M46"/>
    <mergeCell ref="A33:N33"/>
    <mergeCell ref="A35:N35"/>
    <mergeCell ref="J28:K28"/>
    <mergeCell ref="J30:K30"/>
    <mergeCell ref="J32:K32"/>
    <mergeCell ref="J34:K34"/>
    <mergeCell ref="J22:K22"/>
    <mergeCell ref="J24:K24"/>
    <mergeCell ref="J46:K46"/>
    <mergeCell ref="J86:K86"/>
    <mergeCell ref="J88:K88"/>
    <mergeCell ref="J54:K54"/>
    <mergeCell ref="L50:M50"/>
    <mergeCell ref="L52:M52"/>
    <mergeCell ref="L68:M68"/>
    <mergeCell ref="L70:M70"/>
    <mergeCell ref="C52:D52"/>
    <mergeCell ref="C54:D54"/>
    <mergeCell ref="J70:K70"/>
    <mergeCell ref="J52:K52"/>
    <mergeCell ref="L34:M34"/>
    <mergeCell ref="J90:K90"/>
    <mergeCell ref="J92:K92"/>
    <mergeCell ref="L48:M48"/>
    <mergeCell ref="L54:M54"/>
    <mergeCell ref="L56:M56"/>
    <mergeCell ref="L58:M58"/>
    <mergeCell ref="L60:M60"/>
    <mergeCell ref="L62:M62"/>
    <mergeCell ref="L64:M64"/>
    <mergeCell ref="J58:K58"/>
    <mergeCell ref="J60:K60"/>
    <mergeCell ref="J62:K62"/>
    <mergeCell ref="J64:K64"/>
    <mergeCell ref="J66:K66"/>
    <mergeCell ref="A57:N57"/>
    <mergeCell ref="A59:N59"/>
    <mergeCell ref="A61:N61"/>
    <mergeCell ref="J56:K56"/>
    <mergeCell ref="C62:D62"/>
    <mergeCell ref="C64:D64"/>
    <mergeCell ref="C66:D66"/>
    <mergeCell ref="A65:N65"/>
    <mergeCell ref="J84:K84"/>
    <mergeCell ref="J72:K72"/>
    <mergeCell ref="J74:K74"/>
    <mergeCell ref="C68:D68"/>
    <mergeCell ref="C102:D102"/>
    <mergeCell ref="C104:D104"/>
    <mergeCell ref="C106:D106"/>
    <mergeCell ref="C72:D72"/>
    <mergeCell ref="C74:D74"/>
    <mergeCell ref="C76:D76"/>
    <mergeCell ref="C78:D78"/>
    <mergeCell ref="C80:D80"/>
    <mergeCell ref="C82:D82"/>
    <mergeCell ref="C84:D84"/>
    <mergeCell ref="C90:D90"/>
    <mergeCell ref="C92:D92"/>
    <mergeCell ref="C94:D94"/>
    <mergeCell ref="C96:D96"/>
    <mergeCell ref="C98:D98"/>
    <mergeCell ref="C100:D100"/>
    <mergeCell ref="A97:N97"/>
    <mergeCell ref="A99:N99"/>
    <mergeCell ref="J68:K68"/>
    <mergeCell ref="J82:K82"/>
    <mergeCell ref="J98:K98"/>
    <mergeCell ref="J26:K26"/>
    <mergeCell ref="A101:N101"/>
    <mergeCell ref="A103:N103"/>
    <mergeCell ref="A105:N105"/>
    <mergeCell ref="A108:O108"/>
    <mergeCell ref="A73:N73"/>
    <mergeCell ref="A75:N75"/>
    <mergeCell ref="A77:N77"/>
    <mergeCell ref="A79:N79"/>
    <mergeCell ref="A81:N81"/>
    <mergeCell ref="A83:N83"/>
    <mergeCell ref="A91:N91"/>
    <mergeCell ref="A93:N93"/>
    <mergeCell ref="A95:N95"/>
    <mergeCell ref="A85:N85"/>
    <mergeCell ref="A87:N87"/>
    <mergeCell ref="A89:N89"/>
    <mergeCell ref="C86:D86"/>
    <mergeCell ref="C88:D88"/>
    <mergeCell ref="J100:K100"/>
    <mergeCell ref="J102:K102"/>
    <mergeCell ref="J104:K104"/>
    <mergeCell ref="J106:K106"/>
    <mergeCell ref="J94:K94"/>
    <mergeCell ref="J96:K96"/>
    <mergeCell ref="J76:K76"/>
    <mergeCell ref="J78:K78"/>
    <mergeCell ref="J80:K80"/>
    <mergeCell ref="A67:N67"/>
    <mergeCell ref="A69:N69"/>
    <mergeCell ref="A71:N71"/>
    <mergeCell ref="A37:N37"/>
    <mergeCell ref="A39:N39"/>
    <mergeCell ref="A41:N41"/>
    <mergeCell ref="A43:N43"/>
    <mergeCell ref="A45:N45"/>
    <mergeCell ref="A47:N47"/>
    <mergeCell ref="A55:N55"/>
    <mergeCell ref="C70:D70"/>
    <mergeCell ref="C38:D38"/>
    <mergeCell ref="C40:D40"/>
    <mergeCell ref="C42:D42"/>
    <mergeCell ref="C44:D44"/>
    <mergeCell ref="C46:D46"/>
    <mergeCell ref="C48:D48"/>
    <mergeCell ref="C50:D50"/>
    <mergeCell ref="A51:N51"/>
    <mergeCell ref="A53:N53"/>
    <mergeCell ref="J16:K16"/>
    <mergeCell ref="J42:K42"/>
    <mergeCell ref="J44:K44"/>
    <mergeCell ref="C56:D56"/>
    <mergeCell ref="C58:D58"/>
    <mergeCell ref="C60:D60"/>
    <mergeCell ref="A49:N49"/>
    <mergeCell ref="A19:N19"/>
    <mergeCell ref="A21:N21"/>
    <mergeCell ref="A23:N23"/>
    <mergeCell ref="A25:N25"/>
    <mergeCell ref="A27:N27"/>
    <mergeCell ref="A29:N29"/>
    <mergeCell ref="A31:N31"/>
    <mergeCell ref="C30:D30"/>
    <mergeCell ref="C32:D32"/>
    <mergeCell ref="C34:D34"/>
    <mergeCell ref="C20:D20"/>
    <mergeCell ref="C22:D22"/>
    <mergeCell ref="C24:D24"/>
    <mergeCell ref="C26:D26"/>
    <mergeCell ref="C28:D28"/>
    <mergeCell ref="C36:D36"/>
    <mergeCell ref="J20:K20"/>
    <mergeCell ref="J48:K48"/>
    <mergeCell ref="J50:K50"/>
    <mergeCell ref="A2:L2"/>
    <mergeCell ref="A3:L3"/>
    <mergeCell ref="A5:C6"/>
    <mergeCell ref="A8:O8"/>
    <mergeCell ref="A10:O10"/>
    <mergeCell ref="A11:O11"/>
    <mergeCell ref="A13:B13"/>
    <mergeCell ref="A15:N15"/>
    <mergeCell ref="C18:D18"/>
    <mergeCell ref="J18:K18"/>
    <mergeCell ref="K9:O9"/>
    <mergeCell ref="L14:M14"/>
    <mergeCell ref="L16:M16"/>
    <mergeCell ref="M1:O5"/>
    <mergeCell ref="A17:N17"/>
    <mergeCell ref="C13:E13"/>
    <mergeCell ref="C14:D14"/>
    <mergeCell ref="C16:D16"/>
    <mergeCell ref="F13:G13"/>
    <mergeCell ref="H13:I13"/>
    <mergeCell ref="J13:O13"/>
    <mergeCell ref="J14:K14"/>
  </mergeCells>
  <pageMargins left="0.19670000000000001" right="0.19670000000000001" top="0.2" bottom="0.2"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tabColor theme="9"/>
  </sheetPr>
  <dimension ref="A2:AD33"/>
  <sheetViews>
    <sheetView topLeftCell="A4" zoomScale="70" zoomScaleNormal="70" workbookViewId="0">
      <selection activeCell="E35" sqref="E35"/>
    </sheetView>
  </sheetViews>
  <sheetFormatPr defaultRowHeight="15" x14ac:dyDescent="0.25"/>
  <cols>
    <col min="1" max="1" width="9.140625" style="27"/>
    <col min="2" max="2" width="35.5703125" style="27" customWidth="1"/>
    <col min="3" max="3" width="35.7109375" style="27" customWidth="1"/>
    <col min="4" max="4" width="21.5703125" style="27" customWidth="1"/>
    <col min="5" max="5" width="21.28515625" style="27" customWidth="1"/>
    <col min="6" max="6" width="14.5703125" style="27" customWidth="1"/>
    <col min="7" max="7" width="17.7109375" style="27" hidden="1" customWidth="1"/>
    <col min="8" max="8" width="18.5703125" style="27" bestFit="1" customWidth="1"/>
    <col min="9" max="9" width="10.7109375" style="27" customWidth="1"/>
    <col min="10" max="10" width="70.140625" style="27" customWidth="1"/>
    <col min="11" max="11" width="34.140625" style="27" customWidth="1"/>
    <col min="12" max="12" width="18.5703125" style="27" customWidth="1"/>
    <col min="13" max="13" width="20" style="27" customWidth="1"/>
    <col min="14" max="14" width="17.42578125" style="27" customWidth="1"/>
    <col min="15" max="15" width="19.28515625" style="27" customWidth="1"/>
    <col min="16" max="16" width="13" style="27" customWidth="1"/>
    <col min="17" max="17" width="16.7109375" style="27" customWidth="1"/>
    <col min="18" max="258" width="9.140625" style="27"/>
    <col min="259" max="259" width="35.5703125" style="27" customWidth="1"/>
    <col min="260" max="260" width="23" style="27" customWidth="1"/>
    <col min="261" max="261" width="17.7109375" style="27" customWidth="1"/>
    <col min="262" max="262" width="18.42578125" style="27" customWidth="1"/>
    <col min="263" max="264" width="13.140625" style="27" customWidth="1"/>
    <col min="265" max="265" width="10.7109375" style="27" customWidth="1"/>
    <col min="266" max="266" width="40.85546875" style="27" customWidth="1"/>
    <col min="267" max="267" width="34.140625" style="27" customWidth="1"/>
    <col min="268" max="268" width="16" style="27" customWidth="1"/>
    <col min="269" max="269" width="15.7109375" style="27" customWidth="1"/>
    <col min="270" max="270" width="17.42578125" style="27" customWidth="1"/>
    <col min="271" max="271" width="10.7109375" style="27" customWidth="1"/>
    <col min="272" max="272" width="13" style="27" customWidth="1"/>
    <col min="273" max="273" width="16.7109375" style="27" customWidth="1"/>
    <col min="274" max="514" width="9.140625" style="27"/>
    <col min="515" max="515" width="35.5703125" style="27" customWidth="1"/>
    <col min="516" max="516" width="23" style="27" customWidth="1"/>
    <col min="517" max="517" width="17.7109375" style="27" customWidth="1"/>
    <col min="518" max="518" width="18.42578125" style="27" customWidth="1"/>
    <col min="519" max="520" width="13.140625" style="27" customWidth="1"/>
    <col min="521" max="521" width="10.7109375" style="27" customWidth="1"/>
    <col min="522" max="522" width="40.85546875" style="27" customWidth="1"/>
    <col min="523" max="523" width="34.140625" style="27" customWidth="1"/>
    <col min="524" max="524" width="16" style="27" customWidth="1"/>
    <col min="525" max="525" width="15.7109375" style="27" customWidth="1"/>
    <col min="526" max="526" width="17.42578125" style="27" customWidth="1"/>
    <col min="527" max="527" width="10.7109375" style="27" customWidth="1"/>
    <col min="528" max="528" width="13" style="27" customWidth="1"/>
    <col min="529" max="529" width="16.7109375" style="27" customWidth="1"/>
    <col min="530" max="770" width="9.140625" style="27"/>
    <col min="771" max="771" width="35.5703125" style="27" customWidth="1"/>
    <col min="772" max="772" width="23" style="27" customWidth="1"/>
    <col min="773" max="773" width="17.7109375" style="27" customWidth="1"/>
    <col min="774" max="774" width="18.42578125" style="27" customWidth="1"/>
    <col min="775" max="776" width="13.140625" style="27" customWidth="1"/>
    <col min="777" max="777" width="10.7109375" style="27" customWidth="1"/>
    <col min="778" max="778" width="40.85546875" style="27" customWidth="1"/>
    <col min="779" max="779" width="34.140625" style="27" customWidth="1"/>
    <col min="780" max="780" width="16" style="27" customWidth="1"/>
    <col min="781" max="781" width="15.7109375" style="27" customWidth="1"/>
    <col min="782" max="782" width="17.42578125" style="27" customWidth="1"/>
    <col min="783" max="783" width="10.7109375" style="27" customWidth="1"/>
    <col min="784" max="784" width="13" style="27" customWidth="1"/>
    <col min="785" max="785" width="16.7109375" style="27" customWidth="1"/>
    <col min="786" max="1026" width="9.140625" style="27"/>
    <col min="1027" max="1027" width="35.5703125" style="27" customWidth="1"/>
    <col min="1028" max="1028" width="23" style="27" customWidth="1"/>
    <col min="1029" max="1029" width="17.7109375" style="27" customWidth="1"/>
    <col min="1030" max="1030" width="18.42578125" style="27" customWidth="1"/>
    <col min="1031" max="1032" width="13.140625" style="27" customWidth="1"/>
    <col min="1033" max="1033" width="10.7109375" style="27" customWidth="1"/>
    <col min="1034" max="1034" width="40.85546875" style="27" customWidth="1"/>
    <col min="1035" max="1035" width="34.140625" style="27" customWidth="1"/>
    <col min="1036" max="1036" width="16" style="27" customWidth="1"/>
    <col min="1037" max="1037" width="15.7109375" style="27" customWidth="1"/>
    <col min="1038" max="1038" width="17.42578125" style="27" customWidth="1"/>
    <col min="1039" max="1039" width="10.7109375" style="27" customWidth="1"/>
    <col min="1040" max="1040" width="13" style="27" customWidth="1"/>
    <col min="1041" max="1041" width="16.7109375" style="27" customWidth="1"/>
    <col min="1042" max="1282" width="9.140625" style="27"/>
    <col min="1283" max="1283" width="35.5703125" style="27" customWidth="1"/>
    <col min="1284" max="1284" width="23" style="27" customWidth="1"/>
    <col min="1285" max="1285" width="17.7109375" style="27" customWidth="1"/>
    <col min="1286" max="1286" width="18.42578125" style="27" customWidth="1"/>
    <col min="1287" max="1288" width="13.140625" style="27" customWidth="1"/>
    <col min="1289" max="1289" width="10.7109375" style="27" customWidth="1"/>
    <col min="1290" max="1290" width="40.85546875" style="27" customWidth="1"/>
    <col min="1291" max="1291" width="34.140625" style="27" customWidth="1"/>
    <col min="1292" max="1292" width="16" style="27" customWidth="1"/>
    <col min="1293" max="1293" width="15.7109375" style="27" customWidth="1"/>
    <col min="1294" max="1294" width="17.42578125" style="27" customWidth="1"/>
    <col min="1295" max="1295" width="10.7109375" style="27" customWidth="1"/>
    <col min="1296" max="1296" width="13" style="27" customWidth="1"/>
    <col min="1297" max="1297" width="16.7109375" style="27" customWidth="1"/>
    <col min="1298" max="1538" width="9.140625" style="27"/>
    <col min="1539" max="1539" width="35.5703125" style="27" customWidth="1"/>
    <col min="1540" max="1540" width="23" style="27" customWidth="1"/>
    <col min="1541" max="1541" width="17.7109375" style="27" customWidth="1"/>
    <col min="1542" max="1542" width="18.42578125" style="27" customWidth="1"/>
    <col min="1543" max="1544" width="13.140625" style="27" customWidth="1"/>
    <col min="1545" max="1545" width="10.7109375" style="27" customWidth="1"/>
    <col min="1546" max="1546" width="40.85546875" style="27" customWidth="1"/>
    <col min="1547" max="1547" width="34.140625" style="27" customWidth="1"/>
    <col min="1548" max="1548" width="16" style="27" customWidth="1"/>
    <col min="1549" max="1549" width="15.7109375" style="27" customWidth="1"/>
    <col min="1550" max="1550" width="17.42578125" style="27" customWidth="1"/>
    <col min="1551" max="1551" width="10.7109375" style="27" customWidth="1"/>
    <col min="1552" max="1552" width="13" style="27" customWidth="1"/>
    <col min="1553" max="1553" width="16.7109375" style="27" customWidth="1"/>
    <col min="1554" max="1794" width="9.140625" style="27"/>
    <col min="1795" max="1795" width="35.5703125" style="27" customWidth="1"/>
    <col min="1796" max="1796" width="23" style="27" customWidth="1"/>
    <col min="1797" max="1797" width="17.7109375" style="27" customWidth="1"/>
    <col min="1798" max="1798" width="18.42578125" style="27" customWidth="1"/>
    <col min="1799" max="1800" width="13.140625" style="27" customWidth="1"/>
    <col min="1801" max="1801" width="10.7109375" style="27" customWidth="1"/>
    <col min="1802" max="1802" width="40.85546875" style="27" customWidth="1"/>
    <col min="1803" max="1803" width="34.140625" style="27" customWidth="1"/>
    <col min="1804" max="1804" width="16" style="27" customWidth="1"/>
    <col min="1805" max="1805" width="15.7109375" style="27" customWidth="1"/>
    <col min="1806" max="1806" width="17.42578125" style="27" customWidth="1"/>
    <col min="1807" max="1807" width="10.7109375" style="27" customWidth="1"/>
    <col min="1808" max="1808" width="13" style="27" customWidth="1"/>
    <col min="1809" max="1809" width="16.7109375" style="27" customWidth="1"/>
    <col min="1810" max="2050" width="9.140625" style="27"/>
    <col min="2051" max="2051" width="35.5703125" style="27" customWidth="1"/>
    <col min="2052" max="2052" width="23" style="27" customWidth="1"/>
    <col min="2053" max="2053" width="17.7109375" style="27" customWidth="1"/>
    <col min="2054" max="2054" width="18.42578125" style="27" customWidth="1"/>
    <col min="2055" max="2056" width="13.140625" style="27" customWidth="1"/>
    <col min="2057" max="2057" width="10.7109375" style="27" customWidth="1"/>
    <col min="2058" max="2058" width="40.85546875" style="27" customWidth="1"/>
    <col min="2059" max="2059" width="34.140625" style="27" customWidth="1"/>
    <col min="2060" max="2060" width="16" style="27" customWidth="1"/>
    <col min="2061" max="2061" width="15.7109375" style="27" customWidth="1"/>
    <col min="2062" max="2062" width="17.42578125" style="27" customWidth="1"/>
    <col min="2063" max="2063" width="10.7109375" style="27" customWidth="1"/>
    <col min="2064" max="2064" width="13" style="27" customWidth="1"/>
    <col min="2065" max="2065" width="16.7109375" style="27" customWidth="1"/>
    <col min="2066" max="2306" width="9.140625" style="27"/>
    <col min="2307" max="2307" width="35.5703125" style="27" customWidth="1"/>
    <col min="2308" max="2308" width="23" style="27" customWidth="1"/>
    <col min="2309" max="2309" width="17.7109375" style="27" customWidth="1"/>
    <col min="2310" max="2310" width="18.42578125" style="27" customWidth="1"/>
    <col min="2311" max="2312" width="13.140625" style="27" customWidth="1"/>
    <col min="2313" max="2313" width="10.7109375" style="27" customWidth="1"/>
    <col min="2314" max="2314" width="40.85546875" style="27" customWidth="1"/>
    <col min="2315" max="2315" width="34.140625" style="27" customWidth="1"/>
    <col min="2316" max="2316" width="16" style="27" customWidth="1"/>
    <col min="2317" max="2317" width="15.7109375" style="27" customWidth="1"/>
    <col min="2318" max="2318" width="17.42578125" style="27" customWidth="1"/>
    <col min="2319" max="2319" width="10.7109375" style="27" customWidth="1"/>
    <col min="2320" max="2320" width="13" style="27" customWidth="1"/>
    <col min="2321" max="2321" width="16.7109375" style="27" customWidth="1"/>
    <col min="2322" max="2562" width="9.140625" style="27"/>
    <col min="2563" max="2563" width="35.5703125" style="27" customWidth="1"/>
    <col min="2564" max="2564" width="23" style="27" customWidth="1"/>
    <col min="2565" max="2565" width="17.7109375" style="27" customWidth="1"/>
    <col min="2566" max="2566" width="18.42578125" style="27" customWidth="1"/>
    <col min="2567" max="2568" width="13.140625" style="27" customWidth="1"/>
    <col min="2569" max="2569" width="10.7109375" style="27" customWidth="1"/>
    <col min="2570" max="2570" width="40.85546875" style="27" customWidth="1"/>
    <col min="2571" max="2571" width="34.140625" style="27" customWidth="1"/>
    <col min="2572" max="2572" width="16" style="27" customWidth="1"/>
    <col min="2573" max="2573" width="15.7109375" style="27" customWidth="1"/>
    <col min="2574" max="2574" width="17.42578125" style="27" customWidth="1"/>
    <col min="2575" max="2575" width="10.7109375" style="27" customWidth="1"/>
    <col min="2576" max="2576" width="13" style="27" customWidth="1"/>
    <col min="2577" max="2577" width="16.7109375" style="27" customWidth="1"/>
    <col min="2578" max="2818" width="9.140625" style="27"/>
    <col min="2819" max="2819" width="35.5703125" style="27" customWidth="1"/>
    <col min="2820" max="2820" width="23" style="27" customWidth="1"/>
    <col min="2821" max="2821" width="17.7109375" style="27" customWidth="1"/>
    <col min="2822" max="2822" width="18.42578125" style="27" customWidth="1"/>
    <col min="2823" max="2824" width="13.140625" style="27" customWidth="1"/>
    <col min="2825" max="2825" width="10.7109375" style="27" customWidth="1"/>
    <col min="2826" max="2826" width="40.85546875" style="27" customWidth="1"/>
    <col min="2827" max="2827" width="34.140625" style="27" customWidth="1"/>
    <col min="2828" max="2828" width="16" style="27" customWidth="1"/>
    <col min="2829" max="2829" width="15.7109375" style="27" customWidth="1"/>
    <col min="2830" max="2830" width="17.42578125" style="27" customWidth="1"/>
    <col min="2831" max="2831" width="10.7109375" style="27" customWidth="1"/>
    <col min="2832" max="2832" width="13" style="27" customWidth="1"/>
    <col min="2833" max="2833" width="16.7109375" style="27" customWidth="1"/>
    <col min="2834" max="3074" width="9.140625" style="27"/>
    <col min="3075" max="3075" width="35.5703125" style="27" customWidth="1"/>
    <col min="3076" max="3076" width="23" style="27" customWidth="1"/>
    <col min="3077" max="3077" width="17.7109375" style="27" customWidth="1"/>
    <col min="3078" max="3078" width="18.42578125" style="27" customWidth="1"/>
    <col min="3079" max="3080" width="13.140625" style="27" customWidth="1"/>
    <col min="3081" max="3081" width="10.7109375" style="27" customWidth="1"/>
    <col min="3082" max="3082" width="40.85546875" style="27" customWidth="1"/>
    <col min="3083" max="3083" width="34.140625" style="27" customWidth="1"/>
    <col min="3084" max="3084" width="16" style="27" customWidth="1"/>
    <col min="3085" max="3085" width="15.7109375" style="27" customWidth="1"/>
    <col min="3086" max="3086" width="17.42578125" style="27" customWidth="1"/>
    <col min="3087" max="3087" width="10.7109375" style="27" customWidth="1"/>
    <col min="3088" max="3088" width="13" style="27" customWidth="1"/>
    <col min="3089" max="3089" width="16.7109375" style="27" customWidth="1"/>
    <col min="3090" max="3330" width="9.140625" style="27"/>
    <col min="3331" max="3331" width="35.5703125" style="27" customWidth="1"/>
    <col min="3332" max="3332" width="23" style="27" customWidth="1"/>
    <col min="3333" max="3333" width="17.7109375" style="27" customWidth="1"/>
    <col min="3334" max="3334" width="18.42578125" style="27" customWidth="1"/>
    <col min="3335" max="3336" width="13.140625" style="27" customWidth="1"/>
    <col min="3337" max="3337" width="10.7109375" style="27" customWidth="1"/>
    <col min="3338" max="3338" width="40.85546875" style="27" customWidth="1"/>
    <col min="3339" max="3339" width="34.140625" style="27" customWidth="1"/>
    <col min="3340" max="3340" width="16" style="27" customWidth="1"/>
    <col min="3341" max="3341" width="15.7109375" style="27" customWidth="1"/>
    <col min="3342" max="3342" width="17.42578125" style="27" customWidth="1"/>
    <col min="3343" max="3343" width="10.7109375" style="27" customWidth="1"/>
    <col min="3344" max="3344" width="13" style="27" customWidth="1"/>
    <col min="3345" max="3345" width="16.7109375" style="27" customWidth="1"/>
    <col min="3346" max="3586" width="9.140625" style="27"/>
    <col min="3587" max="3587" width="35.5703125" style="27" customWidth="1"/>
    <col min="3588" max="3588" width="23" style="27" customWidth="1"/>
    <col min="3589" max="3589" width="17.7109375" style="27" customWidth="1"/>
    <col min="3590" max="3590" width="18.42578125" style="27" customWidth="1"/>
    <col min="3591" max="3592" width="13.140625" style="27" customWidth="1"/>
    <col min="3593" max="3593" width="10.7109375" style="27" customWidth="1"/>
    <col min="3594" max="3594" width="40.85546875" style="27" customWidth="1"/>
    <col min="3595" max="3595" width="34.140625" style="27" customWidth="1"/>
    <col min="3596" max="3596" width="16" style="27" customWidth="1"/>
    <col min="3597" max="3597" width="15.7109375" style="27" customWidth="1"/>
    <col min="3598" max="3598" width="17.42578125" style="27" customWidth="1"/>
    <col min="3599" max="3599" width="10.7109375" style="27" customWidth="1"/>
    <col min="3600" max="3600" width="13" style="27" customWidth="1"/>
    <col min="3601" max="3601" width="16.7109375" style="27" customWidth="1"/>
    <col min="3602" max="3842" width="9.140625" style="27"/>
    <col min="3843" max="3843" width="35.5703125" style="27" customWidth="1"/>
    <col min="3844" max="3844" width="23" style="27" customWidth="1"/>
    <col min="3845" max="3845" width="17.7109375" style="27" customWidth="1"/>
    <col min="3846" max="3846" width="18.42578125" style="27" customWidth="1"/>
    <col min="3847" max="3848" width="13.140625" style="27" customWidth="1"/>
    <col min="3849" max="3849" width="10.7109375" style="27" customWidth="1"/>
    <col min="3850" max="3850" width="40.85546875" style="27" customWidth="1"/>
    <col min="3851" max="3851" width="34.140625" style="27" customWidth="1"/>
    <col min="3852" max="3852" width="16" style="27" customWidth="1"/>
    <col min="3853" max="3853" width="15.7109375" style="27" customWidth="1"/>
    <col min="3854" max="3854" width="17.42578125" style="27" customWidth="1"/>
    <col min="3855" max="3855" width="10.7109375" style="27" customWidth="1"/>
    <col min="3856" max="3856" width="13" style="27" customWidth="1"/>
    <col min="3857" max="3857" width="16.7109375" style="27" customWidth="1"/>
    <col min="3858" max="4098" width="9.140625" style="27"/>
    <col min="4099" max="4099" width="35.5703125" style="27" customWidth="1"/>
    <col min="4100" max="4100" width="23" style="27" customWidth="1"/>
    <col min="4101" max="4101" width="17.7109375" style="27" customWidth="1"/>
    <col min="4102" max="4102" width="18.42578125" style="27" customWidth="1"/>
    <col min="4103" max="4104" width="13.140625" style="27" customWidth="1"/>
    <col min="4105" max="4105" width="10.7109375" style="27" customWidth="1"/>
    <col min="4106" max="4106" width="40.85546875" style="27" customWidth="1"/>
    <col min="4107" max="4107" width="34.140625" style="27" customWidth="1"/>
    <col min="4108" max="4108" width="16" style="27" customWidth="1"/>
    <col min="4109" max="4109" width="15.7109375" style="27" customWidth="1"/>
    <col min="4110" max="4110" width="17.42578125" style="27" customWidth="1"/>
    <col min="4111" max="4111" width="10.7109375" style="27" customWidth="1"/>
    <col min="4112" max="4112" width="13" style="27" customWidth="1"/>
    <col min="4113" max="4113" width="16.7109375" style="27" customWidth="1"/>
    <col min="4114" max="4354" width="9.140625" style="27"/>
    <col min="4355" max="4355" width="35.5703125" style="27" customWidth="1"/>
    <col min="4356" max="4356" width="23" style="27" customWidth="1"/>
    <col min="4357" max="4357" width="17.7109375" style="27" customWidth="1"/>
    <col min="4358" max="4358" width="18.42578125" style="27" customWidth="1"/>
    <col min="4359" max="4360" width="13.140625" style="27" customWidth="1"/>
    <col min="4361" max="4361" width="10.7109375" style="27" customWidth="1"/>
    <col min="4362" max="4362" width="40.85546875" style="27" customWidth="1"/>
    <col min="4363" max="4363" width="34.140625" style="27" customWidth="1"/>
    <col min="4364" max="4364" width="16" style="27" customWidth="1"/>
    <col min="4365" max="4365" width="15.7109375" style="27" customWidth="1"/>
    <col min="4366" max="4366" width="17.42578125" style="27" customWidth="1"/>
    <col min="4367" max="4367" width="10.7109375" style="27" customWidth="1"/>
    <col min="4368" max="4368" width="13" style="27" customWidth="1"/>
    <col min="4369" max="4369" width="16.7109375" style="27" customWidth="1"/>
    <col min="4370" max="4610" width="9.140625" style="27"/>
    <col min="4611" max="4611" width="35.5703125" style="27" customWidth="1"/>
    <col min="4612" max="4612" width="23" style="27" customWidth="1"/>
    <col min="4613" max="4613" width="17.7109375" style="27" customWidth="1"/>
    <col min="4614" max="4614" width="18.42578125" style="27" customWidth="1"/>
    <col min="4615" max="4616" width="13.140625" style="27" customWidth="1"/>
    <col min="4617" max="4617" width="10.7109375" style="27" customWidth="1"/>
    <col min="4618" max="4618" width="40.85546875" style="27" customWidth="1"/>
    <col min="4619" max="4619" width="34.140625" style="27" customWidth="1"/>
    <col min="4620" max="4620" width="16" style="27" customWidth="1"/>
    <col min="4621" max="4621" width="15.7109375" style="27" customWidth="1"/>
    <col min="4622" max="4622" width="17.42578125" style="27" customWidth="1"/>
    <col min="4623" max="4623" width="10.7109375" style="27" customWidth="1"/>
    <col min="4624" max="4624" width="13" style="27" customWidth="1"/>
    <col min="4625" max="4625" width="16.7109375" style="27" customWidth="1"/>
    <col min="4626" max="4866" width="9.140625" style="27"/>
    <col min="4867" max="4867" width="35.5703125" style="27" customWidth="1"/>
    <col min="4868" max="4868" width="23" style="27" customWidth="1"/>
    <col min="4869" max="4869" width="17.7109375" style="27" customWidth="1"/>
    <col min="4870" max="4870" width="18.42578125" style="27" customWidth="1"/>
    <col min="4871" max="4872" width="13.140625" style="27" customWidth="1"/>
    <col min="4873" max="4873" width="10.7109375" style="27" customWidth="1"/>
    <col min="4874" max="4874" width="40.85546875" style="27" customWidth="1"/>
    <col min="4875" max="4875" width="34.140625" style="27" customWidth="1"/>
    <col min="4876" max="4876" width="16" style="27" customWidth="1"/>
    <col min="4877" max="4877" width="15.7109375" style="27" customWidth="1"/>
    <col min="4878" max="4878" width="17.42578125" style="27" customWidth="1"/>
    <col min="4879" max="4879" width="10.7109375" style="27" customWidth="1"/>
    <col min="4880" max="4880" width="13" style="27" customWidth="1"/>
    <col min="4881" max="4881" width="16.7109375" style="27" customWidth="1"/>
    <col min="4882" max="5122" width="9.140625" style="27"/>
    <col min="5123" max="5123" width="35.5703125" style="27" customWidth="1"/>
    <col min="5124" max="5124" width="23" style="27" customWidth="1"/>
    <col min="5125" max="5125" width="17.7109375" style="27" customWidth="1"/>
    <col min="5126" max="5126" width="18.42578125" style="27" customWidth="1"/>
    <col min="5127" max="5128" width="13.140625" style="27" customWidth="1"/>
    <col min="5129" max="5129" width="10.7109375" style="27" customWidth="1"/>
    <col min="5130" max="5130" width="40.85546875" style="27" customWidth="1"/>
    <col min="5131" max="5131" width="34.140625" style="27" customWidth="1"/>
    <col min="5132" max="5132" width="16" style="27" customWidth="1"/>
    <col min="5133" max="5133" width="15.7109375" style="27" customWidth="1"/>
    <col min="5134" max="5134" width="17.42578125" style="27" customWidth="1"/>
    <col min="5135" max="5135" width="10.7109375" style="27" customWidth="1"/>
    <col min="5136" max="5136" width="13" style="27" customWidth="1"/>
    <col min="5137" max="5137" width="16.7109375" style="27" customWidth="1"/>
    <col min="5138" max="5378" width="9.140625" style="27"/>
    <col min="5379" max="5379" width="35.5703125" style="27" customWidth="1"/>
    <col min="5380" max="5380" width="23" style="27" customWidth="1"/>
    <col min="5381" max="5381" width="17.7109375" style="27" customWidth="1"/>
    <col min="5382" max="5382" width="18.42578125" style="27" customWidth="1"/>
    <col min="5383" max="5384" width="13.140625" style="27" customWidth="1"/>
    <col min="5385" max="5385" width="10.7109375" style="27" customWidth="1"/>
    <col min="5386" max="5386" width="40.85546875" style="27" customWidth="1"/>
    <col min="5387" max="5387" width="34.140625" style="27" customWidth="1"/>
    <col min="5388" max="5388" width="16" style="27" customWidth="1"/>
    <col min="5389" max="5389" width="15.7109375" style="27" customWidth="1"/>
    <col min="5390" max="5390" width="17.42578125" style="27" customWidth="1"/>
    <col min="5391" max="5391" width="10.7109375" style="27" customWidth="1"/>
    <col min="5392" max="5392" width="13" style="27" customWidth="1"/>
    <col min="5393" max="5393" width="16.7109375" style="27" customWidth="1"/>
    <col min="5394" max="5634" width="9.140625" style="27"/>
    <col min="5635" max="5635" width="35.5703125" style="27" customWidth="1"/>
    <col min="5636" max="5636" width="23" style="27" customWidth="1"/>
    <col min="5637" max="5637" width="17.7109375" style="27" customWidth="1"/>
    <col min="5638" max="5638" width="18.42578125" style="27" customWidth="1"/>
    <col min="5639" max="5640" width="13.140625" style="27" customWidth="1"/>
    <col min="5641" max="5641" width="10.7109375" style="27" customWidth="1"/>
    <col min="5642" max="5642" width="40.85546875" style="27" customWidth="1"/>
    <col min="5643" max="5643" width="34.140625" style="27" customWidth="1"/>
    <col min="5644" max="5644" width="16" style="27" customWidth="1"/>
    <col min="5645" max="5645" width="15.7109375" style="27" customWidth="1"/>
    <col min="5646" max="5646" width="17.42578125" style="27" customWidth="1"/>
    <col min="5647" max="5647" width="10.7109375" style="27" customWidth="1"/>
    <col min="5648" max="5648" width="13" style="27" customWidth="1"/>
    <col min="5649" max="5649" width="16.7109375" style="27" customWidth="1"/>
    <col min="5650" max="5890" width="9.140625" style="27"/>
    <col min="5891" max="5891" width="35.5703125" style="27" customWidth="1"/>
    <col min="5892" max="5892" width="23" style="27" customWidth="1"/>
    <col min="5893" max="5893" width="17.7109375" style="27" customWidth="1"/>
    <col min="5894" max="5894" width="18.42578125" style="27" customWidth="1"/>
    <col min="5895" max="5896" width="13.140625" style="27" customWidth="1"/>
    <col min="5897" max="5897" width="10.7109375" style="27" customWidth="1"/>
    <col min="5898" max="5898" width="40.85546875" style="27" customWidth="1"/>
    <col min="5899" max="5899" width="34.140625" style="27" customWidth="1"/>
    <col min="5900" max="5900" width="16" style="27" customWidth="1"/>
    <col min="5901" max="5901" width="15.7109375" style="27" customWidth="1"/>
    <col min="5902" max="5902" width="17.42578125" style="27" customWidth="1"/>
    <col min="5903" max="5903" width="10.7109375" style="27" customWidth="1"/>
    <col min="5904" max="5904" width="13" style="27" customWidth="1"/>
    <col min="5905" max="5905" width="16.7109375" style="27" customWidth="1"/>
    <col min="5906" max="6146" width="9.140625" style="27"/>
    <col min="6147" max="6147" width="35.5703125" style="27" customWidth="1"/>
    <col min="6148" max="6148" width="23" style="27" customWidth="1"/>
    <col min="6149" max="6149" width="17.7109375" style="27" customWidth="1"/>
    <col min="6150" max="6150" width="18.42578125" style="27" customWidth="1"/>
    <col min="6151" max="6152" width="13.140625" style="27" customWidth="1"/>
    <col min="6153" max="6153" width="10.7109375" style="27" customWidth="1"/>
    <col min="6154" max="6154" width="40.85546875" style="27" customWidth="1"/>
    <col min="6155" max="6155" width="34.140625" style="27" customWidth="1"/>
    <col min="6156" max="6156" width="16" style="27" customWidth="1"/>
    <col min="6157" max="6157" width="15.7109375" style="27" customWidth="1"/>
    <col min="6158" max="6158" width="17.42578125" style="27" customWidth="1"/>
    <col min="6159" max="6159" width="10.7109375" style="27" customWidth="1"/>
    <col min="6160" max="6160" width="13" style="27" customWidth="1"/>
    <col min="6161" max="6161" width="16.7109375" style="27" customWidth="1"/>
    <col min="6162" max="6402" width="9.140625" style="27"/>
    <col min="6403" max="6403" width="35.5703125" style="27" customWidth="1"/>
    <col min="6404" max="6404" width="23" style="27" customWidth="1"/>
    <col min="6405" max="6405" width="17.7109375" style="27" customWidth="1"/>
    <col min="6406" max="6406" width="18.42578125" style="27" customWidth="1"/>
    <col min="6407" max="6408" width="13.140625" style="27" customWidth="1"/>
    <col min="6409" max="6409" width="10.7109375" style="27" customWidth="1"/>
    <col min="6410" max="6410" width="40.85546875" style="27" customWidth="1"/>
    <col min="6411" max="6411" width="34.140625" style="27" customWidth="1"/>
    <col min="6412" max="6412" width="16" style="27" customWidth="1"/>
    <col min="6413" max="6413" width="15.7109375" style="27" customWidth="1"/>
    <col min="6414" max="6414" width="17.42578125" style="27" customWidth="1"/>
    <col min="6415" max="6415" width="10.7109375" style="27" customWidth="1"/>
    <col min="6416" max="6416" width="13" style="27" customWidth="1"/>
    <col min="6417" max="6417" width="16.7109375" style="27" customWidth="1"/>
    <col min="6418" max="6658" width="9.140625" style="27"/>
    <col min="6659" max="6659" width="35.5703125" style="27" customWidth="1"/>
    <col min="6660" max="6660" width="23" style="27" customWidth="1"/>
    <col min="6661" max="6661" width="17.7109375" style="27" customWidth="1"/>
    <col min="6662" max="6662" width="18.42578125" style="27" customWidth="1"/>
    <col min="6663" max="6664" width="13.140625" style="27" customWidth="1"/>
    <col min="6665" max="6665" width="10.7109375" style="27" customWidth="1"/>
    <col min="6666" max="6666" width="40.85546875" style="27" customWidth="1"/>
    <col min="6667" max="6667" width="34.140625" style="27" customWidth="1"/>
    <col min="6668" max="6668" width="16" style="27" customWidth="1"/>
    <col min="6669" max="6669" width="15.7109375" style="27" customWidth="1"/>
    <col min="6670" max="6670" width="17.42578125" style="27" customWidth="1"/>
    <col min="6671" max="6671" width="10.7109375" style="27" customWidth="1"/>
    <col min="6672" max="6672" width="13" style="27" customWidth="1"/>
    <col min="6673" max="6673" width="16.7109375" style="27" customWidth="1"/>
    <col min="6674" max="6914" width="9.140625" style="27"/>
    <col min="6915" max="6915" width="35.5703125" style="27" customWidth="1"/>
    <col min="6916" max="6916" width="23" style="27" customWidth="1"/>
    <col min="6917" max="6917" width="17.7109375" style="27" customWidth="1"/>
    <col min="6918" max="6918" width="18.42578125" style="27" customWidth="1"/>
    <col min="6919" max="6920" width="13.140625" style="27" customWidth="1"/>
    <col min="6921" max="6921" width="10.7109375" style="27" customWidth="1"/>
    <col min="6922" max="6922" width="40.85546875" style="27" customWidth="1"/>
    <col min="6923" max="6923" width="34.140625" style="27" customWidth="1"/>
    <col min="6924" max="6924" width="16" style="27" customWidth="1"/>
    <col min="6925" max="6925" width="15.7109375" style="27" customWidth="1"/>
    <col min="6926" max="6926" width="17.42578125" style="27" customWidth="1"/>
    <col min="6927" max="6927" width="10.7109375" style="27" customWidth="1"/>
    <col min="6928" max="6928" width="13" style="27" customWidth="1"/>
    <col min="6929" max="6929" width="16.7109375" style="27" customWidth="1"/>
    <col min="6930" max="7170" width="9.140625" style="27"/>
    <col min="7171" max="7171" width="35.5703125" style="27" customWidth="1"/>
    <col min="7172" max="7172" width="23" style="27" customWidth="1"/>
    <col min="7173" max="7173" width="17.7109375" style="27" customWidth="1"/>
    <col min="7174" max="7174" width="18.42578125" style="27" customWidth="1"/>
    <col min="7175" max="7176" width="13.140625" style="27" customWidth="1"/>
    <col min="7177" max="7177" width="10.7109375" style="27" customWidth="1"/>
    <col min="7178" max="7178" width="40.85546875" style="27" customWidth="1"/>
    <col min="7179" max="7179" width="34.140625" style="27" customWidth="1"/>
    <col min="7180" max="7180" width="16" style="27" customWidth="1"/>
    <col min="7181" max="7181" width="15.7109375" style="27" customWidth="1"/>
    <col min="7182" max="7182" width="17.42578125" style="27" customWidth="1"/>
    <col min="7183" max="7183" width="10.7109375" style="27" customWidth="1"/>
    <col min="7184" max="7184" width="13" style="27" customWidth="1"/>
    <col min="7185" max="7185" width="16.7109375" style="27" customWidth="1"/>
    <col min="7186" max="7426" width="9.140625" style="27"/>
    <col min="7427" max="7427" width="35.5703125" style="27" customWidth="1"/>
    <col min="7428" max="7428" width="23" style="27" customWidth="1"/>
    <col min="7429" max="7429" width="17.7109375" style="27" customWidth="1"/>
    <col min="7430" max="7430" width="18.42578125" style="27" customWidth="1"/>
    <col min="7431" max="7432" width="13.140625" style="27" customWidth="1"/>
    <col min="7433" max="7433" width="10.7109375" style="27" customWidth="1"/>
    <col min="7434" max="7434" width="40.85546875" style="27" customWidth="1"/>
    <col min="7435" max="7435" width="34.140625" style="27" customWidth="1"/>
    <col min="7436" max="7436" width="16" style="27" customWidth="1"/>
    <col min="7437" max="7437" width="15.7109375" style="27" customWidth="1"/>
    <col min="7438" max="7438" width="17.42578125" style="27" customWidth="1"/>
    <col min="7439" max="7439" width="10.7109375" style="27" customWidth="1"/>
    <col min="7440" max="7440" width="13" style="27" customWidth="1"/>
    <col min="7441" max="7441" width="16.7109375" style="27" customWidth="1"/>
    <col min="7442" max="7682" width="9.140625" style="27"/>
    <col min="7683" max="7683" width="35.5703125" style="27" customWidth="1"/>
    <col min="7684" max="7684" width="23" style="27" customWidth="1"/>
    <col min="7685" max="7685" width="17.7109375" style="27" customWidth="1"/>
    <col min="7686" max="7686" width="18.42578125" style="27" customWidth="1"/>
    <col min="7687" max="7688" width="13.140625" style="27" customWidth="1"/>
    <col min="7689" max="7689" width="10.7109375" style="27" customWidth="1"/>
    <col min="7690" max="7690" width="40.85546875" style="27" customWidth="1"/>
    <col min="7691" max="7691" width="34.140625" style="27" customWidth="1"/>
    <col min="7692" max="7692" width="16" style="27" customWidth="1"/>
    <col min="7693" max="7693" width="15.7109375" style="27" customWidth="1"/>
    <col min="7694" max="7694" width="17.42578125" style="27" customWidth="1"/>
    <col min="7695" max="7695" width="10.7109375" style="27" customWidth="1"/>
    <col min="7696" max="7696" width="13" style="27" customWidth="1"/>
    <col min="7697" max="7697" width="16.7109375" style="27" customWidth="1"/>
    <col min="7698" max="7938" width="9.140625" style="27"/>
    <col min="7939" max="7939" width="35.5703125" style="27" customWidth="1"/>
    <col min="7940" max="7940" width="23" style="27" customWidth="1"/>
    <col min="7941" max="7941" width="17.7109375" style="27" customWidth="1"/>
    <col min="7942" max="7942" width="18.42578125" style="27" customWidth="1"/>
    <col min="7943" max="7944" width="13.140625" style="27" customWidth="1"/>
    <col min="7945" max="7945" width="10.7109375" style="27" customWidth="1"/>
    <col min="7946" max="7946" width="40.85546875" style="27" customWidth="1"/>
    <col min="7947" max="7947" width="34.140625" style="27" customWidth="1"/>
    <col min="7948" max="7948" width="16" style="27" customWidth="1"/>
    <col min="7949" max="7949" width="15.7109375" style="27" customWidth="1"/>
    <col min="7950" max="7950" width="17.42578125" style="27" customWidth="1"/>
    <col min="7951" max="7951" width="10.7109375" style="27" customWidth="1"/>
    <col min="7952" max="7952" width="13" style="27" customWidth="1"/>
    <col min="7953" max="7953" width="16.7109375" style="27" customWidth="1"/>
    <col min="7954" max="8194" width="9.140625" style="27"/>
    <col min="8195" max="8195" width="35.5703125" style="27" customWidth="1"/>
    <col min="8196" max="8196" width="23" style="27" customWidth="1"/>
    <col min="8197" max="8197" width="17.7109375" style="27" customWidth="1"/>
    <col min="8198" max="8198" width="18.42578125" style="27" customWidth="1"/>
    <col min="8199" max="8200" width="13.140625" style="27" customWidth="1"/>
    <col min="8201" max="8201" width="10.7109375" style="27" customWidth="1"/>
    <col min="8202" max="8202" width="40.85546875" style="27" customWidth="1"/>
    <col min="8203" max="8203" width="34.140625" style="27" customWidth="1"/>
    <col min="8204" max="8204" width="16" style="27" customWidth="1"/>
    <col min="8205" max="8205" width="15.7109375" style="27" customWidth="1"/>
    <col min="8206" max="8206" width="17.42578125" style="27" customWidth="1"/>
    <col min="8207" max="8207" width="10.7109375" style="27" customWidth="1"/>
    <col min="8208" max="8208" width="13" style="27" customWidth="1"/>
    <col min="8209" max="8209" width="16.7109375" style="27" customWidth="1"/>
    <col min="8210" max="8450" width="9.140625" style="27"/>
    <col min="8451" max="8451" width="35.5703125" style="27" customWidth="1"/>
    <col min="8452" max="8452" width="23" style="27" customWidth="1"/>
    <col min="8453" max="8453" width="17.7109375" style="27" customWidth="1"/>
    <col min="8454" max="8454" width="18.42578125" style="27" customWidth="1"/>
    <col min="8455" max="8456" width="13.140625" style="27" customWidth="1"/>
    <col min="8457" max="8457" width="10.7109375" style="27" customWidth="1"/>
    <col min="8458" max="8458" width="40.85546875" style="27" customWidth="1"/>
    <col min="8459" max="8459" width="34.140625" style="27" customWidth="1"/>
    <col min="8460" max="8460" width="16" style="27" customWidth="1"/>
    <col min="8461" max="8461" width="15.7109375" style="27" customWidth="1"/>
    <col min="8462" max="8462" width="17.42578125" style="27" customWidth="1"/>
    <col min="8463" max="8463" width="10.7109375" style="27" customWidth="1"/>
    <col min="8464" max="8464" width="13" style="27" customWidth="1"/>
    <col min="8465" max="8465" width="16.7109375" style="27" customWidth="1"/>
    <col min="8466" max="8706" width="9.140625" style="27"/>
    <col min="8707" max="8707" width="35.5703125" style="27" customWidth="1"/>
    <col min="8708" max="8708" width="23" style="27" customWidth="1"/>
    <col min="8709" max="8709" width="17.7109375" style="27" customWidth="1"/>
    <col min="8710" max="8710" width="18.42578125" style="27" customWidth="1"/>
    <col min="8711" max="8712" width="13.140625" style="27" customWidth="1"/>
    <col min="8713" max="8713" width="10.7109375" style="27" customWidth="1"/>
    <col min="8714" max="8714" width="40.85546875" style="27" customWidth="1"/>
    <col min="8715" max="8715" width="34.140625" style="27" customWidth="1"/>
    <col min="8716" max="8716" width="16" style="27" customWidth="1"/>
    <col min="8717" max="8717" width="15.7109375" style="27" customWidth="1"/>
    <col min="8718" max="8718" width="17.42578125" style="27" customWidth="1"/>
    <col min="8719" max="8719" width="10.7109375" style="27" customWidth="1"/>
    <col min="8720" max="8720" width="13" style="27" customWidth="1"/>
    <col min="8721" max="8721" width="16.7109375" style="27" customWidth="1"/>
    <col min="8722" max="8962" width="9.140625" style="27"/>
    <col min="8963" max="8963" width="35.5703125" style="27" customWidth="1"/>
    <col min="8964" max="8964" width="23" style="27" customWidth="1"/>
    <col min="8965" max="8965" width="17.7109375" style="27" customWidth="1"/>
    <col min="8966" max="8966" width="18.42578125" style="27" customWidth="1"/>
    <col min="8967" max="8968" width="13.140625" style="27" customWidth="1"/>
    <col min="8969" max="8969" width="10.7109375" style="27" customWidth="1"/>
    <col min="8970" max="8970" width="40.85546875" style="27" customWidth="1"/>
    <col min="8971" max="8971" width="34.140625" style="27" customWidth="1"/>
    <col min="8972" max="8972" width="16" style="27" customWidth="1"/>
    <col min="8973" max="8973" width="15.7109375" style="27" customWidth="1"/>
    <col min="8974" max="8974" width="17.42578125" style="27" customWidth="1"/>
    <col min="8975" max="8975" width="10.7109375" style="27" customWidth="1"/>
    <col min="8976" max="8976" width="13" style="27" customWidth="1"/>
    <col min="8977" max="8977" width="16.7109375" style="27" customWidth="1"/>
    <col min="8978" max="9218" width="9.140625" style="27"/>
    <col min="9219" max="9219" width="35.5703125" style="27" customWidth="1"/>
    <col min="9220" max="9220" width="23" style="27" customWidth="1"/>
    <col min="9221" max="9221" width="17.7109375" style="27" customWidth="1"/>
    <col min="9222" max="9222" width="18.42578125" style="27" customWidth="1"/>
    <col min="9223" max="9224" width="13.140625" style="27" customWidth="1"/>
    <col min="9225" max="9225" width="10.7109375" style="27" customWidth="1"/>
    <col min="9226" max="9226" width="40.85546875" style="27" customWidth="1"/>
    <col min="9227" max="9227" width="34.140625" style="27" customWidth="1"/>
    <col min="9228" max="9228" width="16" style="27" customWidth="1"/>
    <col min="9229" max="9229" width="15.7109375" style="27" customWidth="1"/>
    <col min="9230" max="9230" width="17.42578125" style="27" customWidth="1"/>
    <col min="9231" max="9231" width="10.7109375" style="27" customWidth="1"/>
    <col min="9232" max="9232" width="13" style="27" customWidth="1"/>
    <col min="9233" max="9233" width="16.7109375" style="27" customWidth="1"/>
    <col min="9234" max="9474" width="9.140625" style="27"/>
    <col min="9475" max="9475" width="35.5703125" style="27" customWidth="1"/>
    <col min="9476" max="9476" width="23" style="27" customWidth="1"/>
    <col min="9477" max="9477" width="17.7109375" style="27" customWidth="1"/>
    <col min="9478" max="9478" width="18.42578125" style="27" customWidth="1"/>
    <col min="9479" max="9480" width="13.140625" style="27" customWidth="1"/>
    <col min="9481" max="9481" width="10.7109375" style="27" customWidth="1"/>
    <col min="9482" max="9482" width="40.85546875" style="27" customWidth="1"/>
    <col min="9483" max="9483" width="34.140625" style="27" customWidth="1"/>
    <col min="9484" max="9484" width="16" style="27" customWidth="1"/>
    <col min="9485" max="9485" width="15.7109375" style="27" customWidth="1"/>
    <col min="9486" max="9486" width="17.42578125" style="27" customWidth="1"/>
    <col min="9487" max="9487" width="10.7109375" style="27" customWidth="1"/>
    <col min="9488" max="9488" width="13" style="27" customWidth="1"/>
    <col min="9489" max="9489" width="16.7109375" style="27" customWidth="1"/>
    <col min="9490" max="9730" width="9.140625" style="27"/>
    <col min="9731" max="9731" width="35.5703125" style="27" customWidth="1"/>
    <col min="9732" max="9732" width="23" style="27" customWidth="1"/>
    <col min="9733" max="9733" width="17.7109375" style="27" customWidth="1"/>
    <col min="9734" max="9734" width="18.42578125" style="27" customWidth="1"/>
    <col min="9735" max="9736" width="13.140625" style="27" customWidth="1"/>
    <col min="9737" max="9737" width="10.7109375" style="27" customWidth="1"/>
    <col min="9738" max="9738" width="40.85546875" style="27" customWidth="1"/>
    <col min="9739" max="9739" width="34.140625" style="27" customWidth="1"/>
    <col min="9740" max="9740" width="16" style="27" customWidth="1"/>
    <col min="9741" max="9741" width="15.7109375" style="27" customWidth="1"/>
    <col min="9742" max="9742" width="17.42578125" style="27" customWidth="1"/>
    <col min="9743" max="9743" width="10.7109375" style="27" customWidth="1"/>
    <col min="9744" max="9744" width="13" style="27" customWidth="1"/>
    <col min="9745" max="9745" width="16.7109375" style="27" customWidth="1"/>
    <col min="9746" max="9986" width="9.140625" style="27"/>
    <col min="9987" max="9987" width="35.5703125" style="27" customWidth="1"/>
    <col min="9988" max="9988" width="23" style="27" customWidth="1"/>
    <col min="9989" max="9989" width="17.7109375" style="27" customWidth="1"/>
    <col min="9990" max="9990" width="18.42578125" style="27" customWidth="1"/>
    <col min="9991" max="9992" width="13.140625" style="27" customWidth="1"/>
    <col min="9993" max="9993" width="10.7109375" style="27" customWidth="1"/>
    <col min="9994" max="9994" width="40.85546875" style="27" customWidth="1"/>
    <col min="9995" max="9995" width="34.140625" style="27" customWidth="1"/>
    <col min="9996" max="9996" width="16" style="27" customWidth="1"/>
    <col min="9997" max="9997" width="15.7109375" style="27" customWidth="1"/>
    <col min="9998" max="9998" width="17.42578125" style="27" customWidth="1"/>
    <col min="9999" max="9999" width="10.7109375" style="27" customWidth="1"/>
    <col min="10000" max="10000" width="13" style="27" customWidth="1"/>
    <col min="10001" max="10001" width="16.7109375" style="27" customWidth="1"/>
    <col min="10002" max="10242" width="9.140625" style="27"/>
    <col min="10243" max="10243" width="35.5703125" style="27" customWidth="1"/>
    <col min="10244" max="10244" width="23" style="27" customWidth="1"/>
    <col min="10245" max="10245" width="17.7109375" style="27" customWidth="1"/>
    <col min="10246" max="10246" width="18.42578125" style="27" customWidth="1"/>
    <col min="10247" max="10248" width="13.140625" style="27" customWidth="1"/>
    <col min="10249" max="10249" width="10.7109375" style="27" customWidth="1"/>
    <col min="10250" max="10250" width="40.85546875" style="27" customWidth="1"/>
    <col min="10251" max="10251" width="34.140625" style="27" customWidth="1"/>
    <col min="10252" max="10252" width="16" style="27" customWidth="1"/>
    <col min="10253" max="10253" width="15.7109375" style="27" customWidth="1"/>
    <col min="10254" max="10254" width="17.42578125" style="27" customWidth="1"/>
    <col min="10255" max="10255" width="10.7109375" style="27" customWidth="1"/>
    <col min="10256" max="10256" width="13" style="27" customWidth="1"/>
    <col min="10257" max="10257" width="16.7109375" style="27" customWidth="1"/>
    <col min="10258" max="10498" width="9.140625" style="27"/>
    <col min="10499" max="10499" width="35.5703125" style="27" customWidth="1"/>
    <col min="10500" max="10500" width="23" style="27" customWidth="1"/>
    <col min="10501" max="10501" width="17.7109375" style="27" customWidth="1"/>
    <col min="10502" max="10502" width="18.42578125" style="27" customWidth="1"/>
    <col min="10503" max="10504" width="13.140625" style="27" customWidth="1"/>
    <col min="10505" max="10505" width="10.7109375" style="27" customWidth="1"/>
    <col min="10506" max="10506" width="40.85546875" style="27" customWidth="1"/>
    <col min="10507" max="10507" width="34.140625" style="27" customWidth="1"/>
    <col min="10508" max="10508" width="16" style="27" customWidth="1"/>
    <col min="10509" max="10509" width="15.7109375" style="27" customWidth="1"/>
    <col min="10510" max="10510" width="17.42578125" style="27" customWidth="1"/>
    <col min="10511" max="10511" width="10.7109375" style="27" customWidth="1"/>
    <col min="10512" max="10512" width="13" style="27" customWidth="1"/>
    <col min="10513" max="10513" width="16.7109375" style="27" customWidth="1"/>
    <col min="10514" max="10754" width="9.140625" style="27"/>
    <col min="10755" max="10755" width="35.5703125" style="27" customWidth="1"/>
    <col min="10756" max="10756" width="23" style="27" customWidth="1"/>
    <col min="10757" max="10757" width="17.7109375" style="27" customWidth="1"/>
    <col min="10758" max="10758" width="18.42578125" style="27" customWidth="1"/>
    <col min="10759" max="10760" width="13.140625" style="27" customWidth="1"/>
    <col min="10761" max="10761" width="10.7109375" style="27" customWidth="1"/>
    <col min="10762" max="10762" width="40.85546875" style="27" customWidth="1"/>
    <col min="10763" max="10763" width="34.140625" style="27" customWidth="1"/>
    <col min="10764" max="10764" width="16" style="27" customWidth="1"/>
    <col min="10765" max="10765" width="15.7109375" style="27" customWidth="1"/>
    <col min="10766" max="10766" width="17.42578125" style="27" customWidth="1"/>
    <col min="10767" max="10767" width="10.7109375" style="27" customWidth="1"/>
    <col min="10768" max="10768" width="13" style="27" customWidth="1"/>
    <col min="10769" max="10769" width="16.7109375" style="27" customWidth="1"/>
    <col min="10770" max="11010" width="9.140625" style="27"/>
    <col min="11011" max="11011" width="35.5703125" style="27" customWidth="1"/>
    <col min="11012" max="11012" width="23" style="27" customWidth="1"/>
    <col min="11013" max="11013" width="17.7109375" style="27" customWidth="1"/>
    <col min="11014" max="11014" width="18.42578125" style="27" customWidth="1"/>
    <col min="11015" max="11016" width="13.140625" style="27" customWidth="1"/>
    <col min="11017" max="11017" width="10.7109375" style="27" customWidth="1"/>
    <col min="11018" max="11018" width="40.85546875" style="27" customWidth="1"/>
    <col min="11019" max="11019" width="34.140625" style="27" customWidth="1"/>
    <col min="11020" max="11020" width="16" style="27" customWidth="1"/>
    <col min="11021" max="11021" width="15.7109375" style="27" customWidth="1"/>
    <col min="11022" max="11022" width="17.42578125" style="27" customWidth="1"/>
    <col min="11023" max="11023" width="10.7109375" style="27" customWidth="1"/>
    <col min="11024" max="11024" width="13" style="27" customWidth="1"/>
    <col min="11025" max="11025" width="16.7109375" style="27" customWidth="1"/>
    <col min="11026" max="11266" width="9.140625" style="27"/>
    <col min="11267" max="11267" width="35.5703125" style="27" customWidth="1"/>
    <col min="11268" max="11268" width="23" style="27" customWidth="1"/>
    <col min="11269" max="11269" width="17.7109375" style="27" customWidth="1"/>
    <col min="11270" max="11270" width="18.42578125" style="27" customWidth="1"/>
    <col min="11271" max="11272" width="13.140625" style="27" customWidth="1"/>
    <col min="11273" max="11273" width="10.7109375" style="27" customWidth="1"/>
    <col min="11274" max="11274" width="40.85546875" style="27" customWidth="1"/>
    <col min="11275" max="11275" width="34.140625" style="27" customWidth="1"/>
    <col min="11276" max="11276" width="16" style="27" customWidth="1"/>
    <col min="11277" max="11277" width="15.7109375" style="27" customWidth="1"/>
    <col min="11278" max="11278" width="17.42578125" style="27" customWidth="1"/>
    <col min="11279" max="11279" width="10.7109375" style="27" customWidth="1"/>
    <col min="11280" max="11280" width="13" style="27" customWidth="1"/>
    <col min="11281" max="11281" width="16.7109375" style="27" customWidth="1"/>
    <col min="11282" max="11522" width="9.140625" style="27"/>
    <col min="11523" max="11523" width="35.5703125" style="27" customWidth="1"/>
    <col min="11524" max="11524" width="23" style="27" customWidth="1"/>
    <col min="11525" max="11525" width="17.7109375" style="27" customWidth="1"/>
    <col min="11526" max="11526" width="18.42578125" style="27" customWidth="1"/>
    <col min="11527" max="11528" width="13.140625" style="27" customWidth="1"/>
    <col min="11529" max="11529" width="10.7109375" style="27" customWidth="1"/>
    <col min="11530" max="11530" width="40.85546875" style="27" customWidth="1"/>
    <col min="11531" max="11531" width="34.140625" style="27" customWidth="1"/>
    <col min="11532" max="11532" width="16" style="27" customWidth="1"/>
    <col min="11533" max="11533" width="15.7109375" style="27" customWidth="1"/>
    <col min="11534" max="11534" width="17.42578125" style="27" customWidth="1"/>
    <col min="11535" max="11535" width="10.7109375" style="27" customWidth="1"/>
    <col min="11536" max="11536" width="13" style="27" customWidth="1"/>
    <col min="11537" max="11537" width="16.7109375" style="27" customWidth="1"/>
    <col min="11538" max="11778" width="9.140625" style="27"/>
    <col min="11779" max="11779" width="35.5703125" style="27" customWidth="1"/>
    <col min="11780" max="11780" width="23" style="27" customWidth="1"/>
    <col min="11781" max="11781" width="17.7109375" style="27" customWidth="1"/>
    <col min="11782" max="11782" width="18.42578125" style="27" customWidth="1"/>
    <col min="11783" max="11784" width="13.140625" style="27" customWidth="1"/>
    <col min="11785" max="11785" width="10.7109375" style="27" customWidth="1"/>
    <col min="11786" max="11786" width="40.85546875" style="27" customWidth="1"/>
    <col min="11787" max="11787" width="34.140625" style="27" customWidth="1"/>
    <col min="11788" max="11788" width="16" style="27" customWidth="1"/>
    <col min="11789" max="11789" width="15.7109375" style="27" customWidth="1"/>
    <col min="11790" max="11790" width="17.42578125" style="27" customWidth="1"/>
    <col min="11791" max="11791" width="10.7109375" style="27" customWidth="1"/>
    <col min="11792" max="11792" width="13" style="27" customWidth="1"/>
    <col min="11793" max="11793" width="16.7109375" style="27" customWidth="1"/>
    <col min="11794" max="12034" width="9.140625" style="27"/>
    <col min="12035" max="12035" width="35.5703125" style="27" customWidth="1"/>
    <col min="12036" max="12036" width="23" style="27" customWidth="1"/>
    <col min="12037" max="12037" width="17.7109375" style="27" customWidth="1"/>
    <col min="12038" max="12038" width="18.42578125" style="27" customWidth="1"/>
    <col min="12039" max="12040" width="13.140625" style="27" customWidth="1"/>
    <col min="12041" max="12041" width="10.7109375" style="27" customWidth="1"/>
    <col min="12042" max="12042" width="40.85546875" style="27" customWidth="1"/>
    <col min="12043" max="12043" width="34.140625" style="27" customWidth="1"/>
    <col min="12044" max="12044" width="16" style="27" customWidth="1"/>
    <col min="12045" max="12045" width="15.7109375" style="27" customWidth="1"/>
    <col min="12046" max="12046" width="17.42578125" style="27" customWidth="1"/>
    <col min="12047" max="12047" width="10.7109375" style="27" customWidth="1"/>
    <col min="12048" max="12048" width="13" style="27" customWidth="1"/>
    <col min="12049" max="12049" width="16.7109375" style="27" customWidth="1"/>
    <col min="12050" max="12290" width="9.140625" style="27"/>
    <col min="12291" max="12291" width="35.5703125" style="27" customWidth="1"/>
    <col min="12292" max="12292" width="23" style="27" customWidth="1"/>
    <col min="12293" max="12293" width="17.7109375" style="27" customWidth="1"/>
    <col min="12294" max="12294" width="18.42578125" style="27" customWidth="1"/>
    <col min="12295" max="12296" width="13.140625" style="27" customWidth="1"/>
    <col min="12297" max="12297" width="10.7109375" style="27" customWidth="1"/>
    <col min="12298" max="12298" width="40.85546875" style="27" customWidth="1"/>
    <col min="12299" max="12299" width="34.140625" style="27" customWidth="1"/>
    <col min="12300" max="12300" width="16" style="27" customWidth="1"/>
    <col min="12301" max="12301" width="15.7109375" style="27" customWidth="1"/>
    <col min="12302" max="12302" width="17.42578125" style="27" customWidth="1"/>
    <col min="12303" max="12303" width="10.7109375" style="27" customWidth="1"/>
    <col min="12304" max="12304" width="13" style="27" customWidth="1"/>
    <col min="12305" max="12305" width="16.7109375" style="27" customWidth="1"/>
    <col min="12306" max="12546" width="9.140625" style="27"/>
    <col min="12547" max="12547" width="35.5703125" style="27" customWidth="1"/>
    <col min="12548" max="12548" width="23" style="27" customWidth="1"/>
    <col min="12549" max="12549" width="17.7109375" style="27" customWidth="1"/>
    <col min="12550" max="12550" width="18.42578125" style="27" customWidth="1"/>
    <col min="12551" max="12552" width="13.140625" style="27" customWidth="1"/>
    <col min="12553" max="12553" width="10.7109375" style="27" customWidth="1"/>
    <col min="12554" max="12554" width="40.85546875" style="27" customWidth="1"/>
    <col min="12555" max="12555" width="34.140625" style="27" customWidth="1"/>
    <col min="12556" max="12556" width="16" style="27" customWidth="1"/>
    <col min="12557" max="12557" width="15.7109375" style="27" customWidth="1"/>
    <col min="12558" max="12558" width="17.42578125" style="27" customWidth="1"/>
    <col min="12559" max="12559" width="10.7109375" style="27" customWidth="1"/>
    <col min="12560" max="12560" width="13" style="27" customWidth="1"/>
    <col min="12561" max="12561" width="16.7109375" style="27" customWidth="1"/>
    <col min="12562" max="12802" width="9.140625" style="27"/>
    <col min="12803" max="12803" width="35.5703125" style="27" customWidth="1"/>
    <col min="12804" max="12804" width="23" style="27" customWidth="1"/>
    <col min="12805" max="12805" width="17.7109375" style="27" customWidth="1"/>
    <col min="12806" max="12806" width="18.42578125" style="27" customWidth="1"/>
    <col min="12807" max="12808" width="13.140625" style="27" customWidth="1"/>
    <col min="12809" max="12809" width="10.7109375" style="27" customWidth="1"/>
    <col min="12810" max="12810" width="40.85546875" style="27" customWidth="1"/>
    <col min="12811" max="12811" width="34.140625" style="27" customWidth="1"/>
    <col min="12812" max="12812" width="16" style="27" customWidth="1"/>
    <col min="12813" max="12813" width="15.7109375" style="27" customWidth="1"/>
    <col min="12814" max="12814" width="17.42578125" style="27" customWidth="1"/>
    <col min="12815" max="12815" width="10.7109375" style="27" customWidth="1"/>
    <col min="12816" max="12816" width="13" style="27" customWidth="1"/>
    <col min="12817" max="12817" width="16.7109375" style="27" customWidth="1"/>
    <col min="12818" max="13058" width="9.140625" style="27"/>
    <col min="13059" max="13059" width="35.5703125" style="27" customWidth="1"/>
    <col min="13060" max="13060" width="23" style="27" customWidth="1"/>
    <col min="13061" max="13061" width="17.7109375" style="27" customWidth="1"/>
    <col min="13062" max="13062" width="18.42578125" style="27" customWidth="1"/>
    <col min="13063" max="13064" width="13.140625" style="27" customWidth="1"/>
    <col min="13065" max="13065" width="10.7109375" style="27" customWidth="1"/>
    <col min="13066" max="13066" width="40.85546875" style="27" customWidth="1"/>
    <col min="13067" max="13067" width="34.140625" style="27" customWidth="1"/>
    <col min="13068" max="13068" width="16" style="27" customWidth="1"/>
    <col min="13069" max="13069" width="15.7109375" style="27" customWidth="1"/>
    <col min="13070" max="13070" width="17.42578125" style="27" customWidth="1"/>
    <col min="13071" max="13071" width="10.7109375" style="27" customWidth="1"/>
    <col min="13072" max="13072" width="13" style="27" customWidth="1"/>
    <col min="13073" max="13073" width="16.7109375" style="27" customWidth="1"/>
    <col min="13074" max="13314" width="9.140625" style="27"/>
    <col min="13315" max="13315" width="35.5703125" style="27" customWidth="1"/>
    <col min="13316" max="13316" width="23" style="27" customWidth="1"/>
    <col min="13317" max="13317" width="17.7109375" style="27" customWidth="1"/>
    <col min="13318" max="13318" width="18.42578125" style="27" customWidth="1"/>
    <col min="13319" max="13320" width="13.140625" style="27" customWidth="1"/>
    <col min="13321" max="13321" width="10.7109375" style="27" customWidth="1"/>
    <col min="13322" max="13322" width="40.85546875" style="27" customWidth="1"/>
    <col min="13323" max="13323" width="34.140625" style="27" customWidth="1"/>
    <col min="13324" max="13324" width="16" style="27" customWidth="1"/>
    <col min="13325" max="13325" width="15.7109375" style="27" customWidth="1"/>
    <col min="13326" max="13326" width="17.42578125" style="27" customWidth="1"/>
    <col min="13327" max="13327" width="10.7109375" style="27" customWidth="1"/>
    <col min="13328" max="13328" width="13" style="27" customWidth="1"/>
    <col min="13329" max="13329" width="16.7109375" style="27" customWidth="1"/>
    <col min="13330" max="13570" width="9.140625" style="27"/>
    <col min="13571" max="13571" width="35.5703125" style="27" customWidth="1"/>
    <col min="13572" max="13572" width="23" style="27" customWidth="1"/>
    <col min="13573" max="13573" width="17.7109375" style="27" customWidth="1"/>
    <col min="13574" max="13574" width="18.42578125" style="27" customWidth="1"/>
    <col min="13575" max="13576" width="13.140625" style="27" customWidth="1"/>
    <col min="13577" max="13577" width="10.7109375" style="27" customWidth="1"/>
    <col min="13578" max="13578" width="40.85546875" style="27" customWidth="1"/>
    <col min="13579" max="13579" width="34.140625" style="27" customWidth="1"/>
    <col min="13580" max="13580" width="16" style="27" customWidth="1"/>
    <col min="13581" max="13581" width="15.7109375" style="27" customWidth="1"/>
    <col min="13582" max="13582" width="17.42578125" style="27" customWidth="1"/>
    <col min="13583" max="13583" width="10.7109375" style="27" customWidth="1"/>
    <col min="13584" max="13584" width="13" style="27" customWidth="1"/>
    <col min="13585" max="13585" width="16.7109375" style="27" customWidth="1"/>
    <col min="13586" max="13826" width="9.140625" style="27"/>
    <col min="13827" max="13827" width="35.5703125" style="27" customWidth="1"/>
    <col min="13828" max="13828" width="23" style="27" customWidth="1"/>
    <col min="13829" max="13829" width="17.7109375" style="27" customWidth="1"/>
    <col min="13830" max="13830" width="18.42578125" style="27" customWidth="1"/>
    <col min="13831" max="13832" width="13.140625" style="27" customWidth="1"/>
    <col min="13833" max="13833" width="10.7109375" style="27" customWidth="1"/>
    <col min="13834" max="13834" width="40.85546875" style="27" customWidth="1"/>
    <col min="13835" max="13835" width="34.140625" style="27" customWidth="1"/>
    <col min="13836" max="13836" width="16" style="27" customWidth="1"/>
    <col min="13837" max="13837" width="15.7109375" style="27" customWidth="1"/>
    <col min="13838" max="13838" width="17.42578125" style="27" customWidth="1"/>
    <col min="13839" max="13839" width="10.7109375" style="27" customWidth="1"/>
    <col min="13840" max="13840" width="13" style="27" customWidth="1"/>
    <col min="13841" max="13841" width="16.7109375" style="27" customWidth="1"/>
    <col min="13842" max="14082" width="9.140625" style="27"/>
    <col min="14083" max="14083" width="35.5703125" style="27" customWidth="1"/>
    <col min="14084" max="14084" width="23" style="27" customWidth="1"/>
    <col min="14085" max="14085" width="17.7109375" style="27" customWidth="1"/>
    <col min="14086" max="14086" width="18.42578125" style="27" customWidth="1"/>
    <col min="14087" max="14088" width="13.140625" style="27" customWidth="1"/>
    <col min="14089" max="14089" width="10.7109375" style="27" customWidth="1"/>
    <col min="14090" max="14090" width="40.85546875" style="27" customWidth="1"/>
    <col min="14091" max="14091" width="34.140625" style="27" customWidth="1"/>
    <col min="14092" max="14092" width="16" style="27" customWidth="1"/>
    <col min="14093" max="14093" width="15.7109375" style="27" customWidth="1"/>
    <col min="14094" max="14094" width="17.42578125" style="27" customWidth="1"/>
    <col min="14095" max="14095" width="10.7109375" style="27" customWidth="1"/>
    <col min="14096" max="14096" width="13" style="27" customWidth="1"/>
    <col min="14097" max="14097" width="16.7109375" style="27" customWidth="1"/>
    <col min="14098" max="14338" width="9.140625" style="27"/>
    <col min="14339" max="14339" width="35.5703125" style="27" customWidth="1"/>
    <col min="14340" max="14340" width="23" style="27" customWidth="1"/>
    <col min="14341" max="14341" width="17.7109375" style="27" customWidth="1"/>
    <col min="14342" max="14342" width="18.42578125" style="27" customWidth="1"/>
    <col min="14343" max="14344" width="13.140625" style="27" customWidth="1"/>
    <col min="14345" max="14345" width="10.7109375" style="27" customWidth="1"/>
    <col min="14346" max="14346" width="40.85546875" style="27" customWidth="1"/>
    <col min="14347" max="14347" width="34.140625" style="27" customWidth="1"/>
    <col min="14348" max="14348" width="16" style="27" customWidth="1"/>
    <col min="14349" max="14349" width="15.7109375" style="27" customWidth="1"/>
    <col min="14350" max="14350" width="17.42578125" style="27" customWidth="1"/>
    <col min="14351" max="14351" width="10.7109375" style="27" customWidth="1"/>
    <col min="14352" max="14352" width="13" style="27" customWidth="1"/>
    <col min="14353" max="14353" width="16.7109375" style="27" customWidth="1"/>
    <col min="14354" max="14594" width="9.140625" style="27"/>
    <col min="14595" max="14595" width="35.5703125" style="27" customWidth="1"/>
    <col min="14596" max="14596" width="23" style="27" customWidth="1"/>
    <col min="14597" max="14597" width="17.7109375" style="27" customWidth="1"/>
    <col min="14598" max="14598" width="18.42578125" style="27" customWidth="1"/>
    <col min="14599" max="14600" width="13.140625" style="27" customWidth="1"/>
    <col min="14601" max="14601" width="10.7109375" style="27" customWidth="1"/>
    <col min="14602" max="14602" width="40.85546875" style="27" customWidth="1"/>
    <col min="14603" max="14603" width="34.140625" style="27" customWidth="1"/>
    <col min="14604" max="14604" width="16" style="27" customWidth="1"/>
    <col min="14605" max="14605" width="15.7109375" style="27" customWidth="1"/>
    <col min="14606" max="14606" width="17.42578125" style="27" customWidth="1"/>
    <col min="14607" max="14607" width="10.7109375" style="27" customWidth="1"/>
    <col min="14608" max="14608" width="13" style="27" customWidth="1"/>
    <col min="14609" max="14609" width="16.7109375" style="27" customWidth="1"/>
    <col min="14610" max="14850" width="9.140625" style="27"/>
    <col min="14851" max="14851" width="35.5703125" style="27" customWidth="1"/>
    <col min="14852" max="14852" width="23" style="27" customWidth="1"/>
    <col min="14853" max="14853" width="17.7109375" style="27" customWidth="1"/>
    <col min="14854" max="14854" width="18.42578125" style="27" customWidth="1"/>
    <col min="14855" max="14856" width="13.140625" style="27" customWidth="1"/>
    <col min="14857" max="14857" width="10.7109375" style="27" customWidth="1"/>
    <col min="14858" max="14858" width="40.85546875" style="27" customWidth="1"/>
    <col min="14859" max="14859" width="34.140625" style="27" customWidth="1"/>
    <col min="14860" max="14860" width="16" style="27" customWidth="1"/>
    <col min="14861" max="14861" width="15.7109375" style="27" customWidth="1"/>
    <col min="14862" max="14862" width="17.42578125" style="27" customWidth="1"/>
    <col min="14863" max="14863" width="10.7109375" style="27" customWidth="1"/>
    <col min="14864" max="14864" width="13" style="27" customWidth="1"/>
    <col min="14865" max="14865" width="16.7109375" style="27" customWidth="1"/>
    <col min="14866" max="15106" width="9.140625" style="27"/>
    <col min="15107" max="15107" width="35.5703125" style="27" customWidth="1"/>
    <col min="15108" max="15108" width="23" style="27" customWidth="1"/>
    <col min="15109" max="15109" width="17.7109375" style="27" customWidth="1"/>
    <col min="15110" max="15110" width="18.42578125" style="27" customWidth="1"/>
    <col min="15111" max="15112" width="13.140625" style="27" customWidth="1"/>
    <col min="15113" max="15113" width="10.7109375" style="27" customWidth="1"/>
    <col min="15114" max="15114" width="40.85546875" style="27" customWidth="1"/>
    <col min="15115" max="15115" width="34.140625" style="27" customWidth="1"/>
    <col min="15116" max="15116" width="16" style="27" customWidth="1"/>
    <col min="15117" max="15117" width="15.7109375" style="27" customWidth="1"/>
    <col min="15118" max="15118" width="17.42578125" style="27" customWidth="1"/>
    <col min="15119" max="15119" width="10.7109375" style="27" customWidth="1"/>
    <col min="15120" max="15120" width="13" style="27" customWidth="1"/>
    <col min="15121" max="15121" width="16.7109375" style="27" customWidth="1"/>
    <col min="15122" max="15362" width="9.140625" style="27"/>
    <col min="15363" max="15363" width="35.5703125" style="27" customWidth="1"/>
    <col min="15364" max="15364" width="23" style="27" customWidth="1"/>
    <col min="15365" max="15365" width="17.7109375" style="27" customWidth="1"/>
    <col min="15366" max="15366" width="18.42578125" style="27" customWidth="1"/>
    <col min="15367" max="15368" width="13.140625" style="27" customWidth="1"/>
    <col min="15369" max="15369" width="10.7109375" style="27" customWidth="1"/>
    <col min="15370" max="15370" width="40.85546875" style="27" customWidth="1"/>
    <col min="15371" max="15371" width="34.140625" style="27" customWidth="1"/>
    <col min="15372" max="15372" width="16" style="27" customWidth="1"/>
    <col min="15373" max="15373" width="15.7109375" style="27" customWidth="1"/>
    <col min="15374" max="15374" width="17.42578125" style="27" customWidth="1"/>
    <col min="15375" max="15375" width="10.7109375" style="27" customWidth="1"/>
    <col min="15376" max="15376" width="13" style="27" customWidth="1"/>
    <col min="15377" max="15377" width="16.7109375" style="27" customWidth="1"/>
    <col min="15378" max="15618" width="9.140625" style="27"/>
    <col min="15619" max="15619" width="35.5703125" style="27" customWidth="1"/>
    <col min="15620" max="15620" width="23" style="27" customWidth="1"/>
    <col min="15621" max="15621" width="17.7109375" style="27" customWidth="1"/>
    <col min="15622" max="15622" width="18.42578125" style="27" customWidth="1"/>
    <col min="15623" max="15624" width="13.140625" style="27" customWidth="1"/>
    <col min="15625" max="15625" width="10.7109375" style="27" customWidth="1"/>
    <col min="15626" max="15626" width="40.85546875" style="27" customWidth="1"/>
    <col min="15627" max="15627" width="34.140625" style="27" customWidth="1"/>
    <col min="15628" max="15628" width="16" style="27" customWidth="1"/>
    <col min="15629" max="15629" width="15.7109375" style="27" customWidth="1"/>
    <col min="15630" max="15630" width="17.42578125" style="27" customWidth="1"/>
    <col min="15631" max="15631" width="10.7109375" style="27" customWidth="1"/>
    <col min="15632" max="15632" width="13" style="27" customWidth="1"/>
    <col min="15633" max="15633" width="16.7109375" style="27" customWidth="1"/>
    <col min="15634" max="15874" width="9.140625" style="27"/>
    <col min="15875" max="15875" width="35.5703125" style="27" customWidth="1"/>
    <col min="15876" max="15876" width="23" style="27" customWidth="1"/>
    <col min="15877" max="15877" width="17.7109375" style="27" customWidth="1"/>
    <col min="15878" max="15878" width="18.42578125" style="27" customWidth="1"/>
    <col min="15879" max="15880" width="13.140625" style="27" customWidth="1"/>
    <col min="15881" max="15881" width="10.7109375" style="27" customWidth="1"/>
    <col min="15882" max="15882" width="40.85546875" style="27" customWidth="1"/>
    <col min="15883" max="15883" width="34.140625" style="27" customWidth="1"/>
    <col min="15884" max="15884" width="16" style="27" customWidth="1"/>
    <col min="15885" max="15885" width="15.7109375" style="27" customWidth="1"/>
    <col min="15886" max="15886" width="17.42578125" style="27" customWidth="1"/>
    <col min="15887" max="15887" width="10.7109375" style="27" customWidth="1"/>
    <col min="15888" max="15888" width="13" style="27" customWidth="1"/>
    <col min="15889" max="15889" width="16.7109375" style="27" customWidth="1"/>
    <col min="15890" max="16130" width="9.140625" style="27"/>
    <col min="16131" max="16131" width="35.5703125" style="27" customWidth="1"/>
    <col min="16132" max="16132" width="23" style="27" customWidth="1"/>
    <col min="16133" max="16133" width="17.7109375" style="27" customWidth="1"/>
    <col min="16134" max="16134" width="18.42578125" style="27" customWidth="1"/>
    <col min="16135" max="16136" width="13.140625" style="27" customWidth="1"/>
    <col min="16137" max="16137" width="10.7109375" style="27" customWidth="1"/>
    <col min="16138" max="16138" width="40.85546875" style="27" customWidth="1"/>
    <col min="16139" max="16139" width="34.140625" style="27" customWidth="1"/>
    <col min="16140" max="16140" width="16" style="27" customWidth="1"/>
    <col min="16141" max="16141" width="15.7109375" style="27" customWidth="1"/>
    <col min="16142" max="16142" width="17.42578125" style="27" customWidth="1"/>
    <col min="16143" max="16143" width="10.7109375" style="27" customWidth="1"/>
    <col min="16144" max="16144" width="13" style="27" customWidth="1"/>
    <col min="16145" max="16145" width="16.7109375" style="27" customWidth="1"/>
    <col min="16146" max="16384" width="9.140625" style="27"/>
  </cols>
  <sheetData>
    <row r="2" spans="1:30" ht="57" customHeight="1" x14ac:dyDescent="0.25"/>
    <row r="3" spans="1:30" s="60" customFormat="1" ht="24" customHeight="1" x14ac:dyDescent="0.3">
      <c r="A3" s="486" t="s">
        <v>127</v>
      </c>
      <c r="B3" s="486"/>
      <c r="C3" s="486"/>
      <c r="D3" s="486"/>
      <c r="E3" s="486"/>
      <c r="F3" s="486"/>
      <c r="G3" s="486"/>
      <c r="H3" s="486"/>
      <c r="I3" s="486"/>
      <c r="J3" s="486"/>
      <c r="K3" s="486"/>
      <c r="L3" s="486"/>
      <c r="M3" s="486"/>
      <c r="N3" s="486"/>
    </row>
    <row r="4" spans="1:30" s="60" customFormat="1" ht="24" customHeight="1" x14ac:dyDescent="0.3">
      <c r="A4" s="493" t="s">
        <v>207</v>
      </c>
      <c r="B4" s="493"/>
      <c r="C4" s="493"/>
      <c r="D4" s="493"/>
      <c r="E4" s="493"/>
      <c r="F4" s="493"/>
      <c r="G4" s="493"/>
      <c r="H4" s="493"/>
      <c r="I4" s="493"/>
      <c r="J4" s="493"/>
      <c r="K4" s="493"/>
      <c r="L4" s="493"/>
      <c r="M4" s="493"/>
      <c r="N4" s="493"/>
    </row>
    <row r="5" spans="1:30" ht="23.25" customHeight="1" x14ac:dyDescent="0.3">
      <c r="A5" s="60"/>
      <c r="B5" s="60"/>
      <c r="C5" s="60"/>
      <c r="D5" s="60"/>
      <c r="E5" s="60"/>
      <c r="F5" s="60"/>
      <c r="G5" s="60"/>
      <c r="H5" s="60"/>
      <c r="I5" s="60"/>
      <c r="J5" s="60"/>
      <c r="K5" s="60"/>
      <c r="L5" s="60"/>
      <c r="M5" s="60"/>
      <c r="N5" s="60"/>
    </row>
    <row r="6" spans="1:30" s="65" customFormat="1" ht="69.75" customHeight="1" x14ac:dyDescent="0.25">
      <c r="A6" s="487" t="s">
        <v>107</v>
      </c>
      <c r="B6" s="488" t="s">
        <v>108</v>
      </c>
      <c r="C6" s="488"/>
      <c r="D6" s="179" t="s">
        <v>180</v>
      </c>
      <c r="E6" s="179" t="s">
        <v>208</v>
      </c>
      <c r="F6" s="179" t="s">
        <v>113</v>
      </c>
      <c r="G6" s="180"/>
      <c r="H6" s="180"/>
      <c r="I6" s="487" t="s">
        <v>107</v>
      </c>
      <c r="J6" s="488" t="s">
        <v>109</v>
      </c>
      <c r="K6" s="488"/>
      <c r="L6" s="207" t="s">
        <v>180</v>
      </c>
      <c r="M6" s="207" t="s">
        <v>208</v>
      </c>
      <c r="N6" s="179" t="s">
        <v>113</v>
      </c>
    </row>
    <row r="7" spans="1:30" s="65" customFormat="1" ht="37.9" customHeight="1" x14ac:dyDescent="0.25">
      <c r="A7" s="487"/>
      <c r="B7" s="489" t="s">
        <v>216</v>
      </c>
      <c r="C7" s="489"/>
      <c r="D7" s="204">
        <f>'Anexo_1.2_Usos e Fontes'!B12-'Anexo_1.2_Usos e Fontes'!B16-'Anexo_1.2_Usos e Fontes'!B19</f>
        <v>2979540</v>
      </c>
      <c r="E7" s="204">
        <f>'Anexo_1.2_Usos e Fontes'!E12-'Anexo_1.2_Usos e Fontes'!E16-'Anexo_1.2_Usos e Fontes'!E19</f>
        <v>3172350</v>
      </c>
      <c r="F7" s="205">
        <f>IFERROR(E7/D7*100-100,0)</f>
        <v>6.4711331279325037</v>
      </c>
      <c r="G7" s="183" t="b">
        <f>D7=[1]FORM.3!E6</f>
        <v>1</v>
      </c>
      <c r="H7" s="343"/>
      <c r="I7" s="487"/>
      <c r="J7" s="490" t="s">
        <v>138</v>
      </c>
      <c r="K7" s="490"/>
      <c r="L7" s="354">
        <v>1521721.9154769306</v>
      </c>
      <c r="M7" s="184">
        <f>'Anexo_1.3_ Elemento de Despesas'!G41</f>
        <v>1434328.1951161064</v>
      </c>
      <c r="N7" s="185">
        <f>IFERROR(M7/L7*100-100,0)</f>
        <v>-5.7430808790996224</v>
      </c>
      <c r="P7" s="345"/>
      <c r="Q7" s="345"/>
      <c r="R7" s="345"/>
      <c r="S7" s="345"/>
      <c r="T7" s="345"/>
      <c r="U7" s="345"/>
      <c r="V7" s="345"/>
      <c r="W7" s="345"/>
      <c r="X7" s="345"/>
    </row>
    <row r="8" spans="1:30" s="65" customFormat="1" ht="38.450000000000003" customHeight="1" x14ac:dyDescent="0.25">
      <c r="A8" s="487"/>
      <c r="B8" s="489" t="s">
        <v>110</v>
      </c>
      <c r="C8" s="489"/>
      <c r="D8" s="204">
        <f>'Anexo_1.2_Usos e Fontes'!B24</f>
        <v>0</v>
      </c>
      <c r="E8" s="204">
        <f>'Anexo_1.2_Usos e Fontes'!E24</f>
        <v>0</v>
      </c>
      <c r="F8" s="205">
        <f>IFERROR(E8/D8*100-100,0)</f>
        <v>0</v>
      </c>
      <c r="G8" s="183" t="b">
        <f>D8=[1]FORM.3!E7</f>
        <v>1</v>
      </c>
      <c r="H8" s="183"/>
      <c r="I8" s="487"/>
      <c r="J8" s="490" t="s">
        <v>128</v>
      </c>
      <c r="K8" s="490"/>
      <c r="L8" s="355">
        <v>184083</v>
      </c>
      <c r="M8" s="319">
        <v>156090</v>
      </c>
      <c r="N8" s="185">
        <f>IFERROR(M8/L8*100-100,0)</f>
        <v>-15.206727400140153</v>
      </c>
      <c r="P8" s="347"/>
    </row>
    <row r="9" spans="1:30" s="65" customFormat="1" ht="39" customHeight="1" thickBot="1" x14ac:dyDescent="0.3">
      <c r="A9" s="487"/>
      <c r="B9" s="491" t="s">
        <v>129</v>
      </c>
      <c r="C9" s="491"/>
      <c r="D9" s="186">
        <f>SUM(D7:D8)</f>
        <v>2979540</v>
      </c>
      <c r="E9" s="186">
        <f>SUM(E7:E8)</f>
        <v>3172350</v>
      </c>
      <c r="F9" s="187">
        <f>IFERROR(E9/D9*100-100,0)</f>
        <v>6.4711331279325037</v>
      </c>
      <c r="G9" s="183" t="b">
        <f>D9=[1]FORM.3!E8</f>
        <v>1</v>
      </c>
      <c r="H9" s="183"/>
      <c r="I9" s="487"/>
      <c r="J9" s="490" t="s">
        <v>130</v>
      </c>
      <c r="K9" s="490"/>
      <c r="L9" s="188">
        <f>'Anexo_1.2_Usos e Fontes'!B11</f>
        <v>3377426</v>
      </c>
      <c r="M9" s="188">
        <f>'Anexo_1.2_Usos e Fontes'!E11</f>
        <v>3516275.02</v>
      </c>
      <c r="N9" s="185">
        <f>IFERROR(M9/L9*100-100,0)</f>
        <v>4.1110899246941273</v>
      </c>
      <c r="P9" s="342"/>
    </row>
    <row r="10" spans="1:30" s="65" customFormat="1" ht="38.25" customHeight="1" thickBot="1" x14ac:dyDescent="0.3">
      <c r="A10" s="487"/>
      <c r="B10" s="489" t="s">
        <v>131</v>
      </c>
      <c r="C10" s="489"/>
      <c r="D10" s="181">
        <f>'Anexo_1.2_Usos e Fontes'!B33</f>
        <v>62980</v>
      </c>
      <c r="E10" s="181">
        <f>'Anexo_1.2_Usos e Fontes'!E33</f>
        <v>52483.65</v>
      </c>
      <c r="F10" s="182">
        <f>IFERROR(E10/D10*100-100,0)</f>
        <v>-16.666163861543353</v>
      </c>
      <c r="G10" s="183" t="b">
        <f>D10=[1]FORM.3!E9</f>
        <v>1</v>
      </c>
      <c r="H10" s="343"/>
      <c r="I10" s="492"/>
      <c r="J10" s="492"/>
      <c r="K10" s="180"/>
      <c r="L10" s="189"/>
      <c r="M10" s="189"/>
      <c r="N10" s="190"/>
      <c r="Q10" s="66"/>
    </row>
    <row r="11" spans="1:30" s="65" customFormat="1" ht="28.15" customHeight="1" x14ac:dyDescent="0.25">
      <c r="A11" s="487"/>
      <c r="B11" s="494" t="s">
        <v>170</v>
      </c>
      <c r="C11" s="494"/>
      <c r="D11" s="191">
        <f>D9-D10</f>
        <v>2916560</v>
      </c>
      <c r="E11" s="191">
        <f>E9-E10</f>
        <v>3119866.35</v>
      </c>
      <c r="F11" s="187">
        <f>IFERROR(E11/D11*100-100,0)</f>
        <v>6.9707583591628577</v>
      </c>
      <c r="G11" s="183" t="b">
        <f>D11=[1]FORM.3!E10</f>
        <v>1</v>
      </c>
      <c r="H11" s="192"/>
      <c r="I11" s="193"/>
      <c r="J11" s="193"/>
      <c r="K11" s="180"/>
      <c r="L11" s="190"/>
      <c r="M11" s="194"/>
      <c r="N11" s="190"/>
      <c r="O11" s="502"/>
      <c r="P11" s="502"/>
      <c r="Q11" s="502"/>
    </row>
    <row r="12" spans="1:30" s="68" customFormat="1" ht="18.75" x14ac:dyDescent="0.25">
      <c r="A12" s="195"/>
      <c r="B12" s="196"/>
      <c r="C12" s="196"/>
      <c r="D12" s="192"/>
      <c r="E12" s="192"/>
      <c r="F12" s="190"/>
      <c r="G12" s="183" t="b">
        <f>D12=[1]FORM.3!E11</f>
        <v>1</v>
      </c>
      <c r="H12" s="192"/>
      <c r="I12" s="193"/>
      <c r="J12" s="193"/>
      <c r="K12" s="180"/>
      <c r="L12" s="190"/>
      <c r="M12" s="194"/>
      <c r="N12" s="190"/>
      <c r="O12" s="306"/>
      <c r="P12" s="306"/>
      <c r="Q12" s="306"/>
    </row>
    <row r="13" spans="1:30" s="65" customFormat="1" ht="43.5" customHeight="1" x14ac:dyDescent="0.25">
      <c r="A13" s="487" t="s">
        <v>151</v>
      </c>
      <c r="B13" s="488" t="s">
        <v>114</v>
      </c>
      <c r="C13" s="488"/>
      <c r="D13" s="179" t="s">
        <v>181</v>
      </c>
      <c r="E13" s="179" t="s">
        <v>205</v>
      </c>
      <c r="F13" s="179" t="s">
        <v>11</v>
      </c>
      <c r="G13" s="183" t="b">
        <f>D13=[1]FORM.3!E12</f>
        <v>1</v>
      </c>
      <c r="H13" s="192"/>
      <c r="I13" s="488" t="s">
        <v>114</v>
      </c>
      <c r="J13" s="488"/>
      <c r="K13" s="488"/>
      <c r="L13" s="207" t="s">
        <v>181</v>
      </c>
      <c r="M13" s="207" t="s">
        <v>205</v>
      </c>
      <c r="N13" s="179" t="s">
        <v>152</v>
      </c>
      <c r="O13" s="69"/>
      <c r="P13" s="69"/>
      <c r="Q13" s="69"/>
    </row>
    <row r="14" spans="1:30" s="65" customFormat="1" ht="39" customHeight="1" x14ac:dyDescent="0.25">
      <c r="A14" s="487"/>
      <c r="B14" s="495" t="s">
        <v>209</v>
      </c>
      <c r="C14" s="197" t="s">
        <v>111</v>
      </c>
      <c r="D14" s="198">
        <f>'Quadro Geral'!I12+'Quadro Geral'!I17+'Quadro Geral'!I31+'Quadro Geral'!I33+'Quadro Geral'!I36</f>
        <v>705019.99</v>
      </c>
      <c r="E14" s="198">
        <f>'Quadro Geral'!L12+'Quadro Geral'!L17+'Quadro Geral'!L31+'Quadro Geral'!L33+'Quadro Geral'!L36</f>
        <v>645356.66999999993</v>
      </c>
      <c r="F14" s="182">
        <f>IFERROR(E14/D14*100-100,)</f>
        <v>-8.4626423145817569</v>
      </c>
      <c r="G14" s="183" t="b">
        <f>D14=[1]FORM.3!E13</f>
        <v>1</v>
      </c>
      <c r="H14" s="192"/>
      <c r="I14" s="495" t="s">
        <v>188</v>
      </c>
      <c r="J14" s="495"/>
      <c r="K14" s="197" t="s">
        <v>111</v>
      </c>
      <c r="L14" s="199">
        <f>(L7-L8)</f>
        <v>1337638.9154769306</v>
      </c>
      <c r="M14" s="199">
        <f>(M7-M8)</f>
        <v>1278238.1951161064</v>
      </c>
      <c r="N14" s="185">
        <f>IFERROR(M14/L14*100-100,0)</f>
        <v>-4.4407141324566624</v>
      </c>
      <c r="O14" s="342"/>
      <c r="P14" s="70"/>
      <c r="Q14" s="70"/>
      <c r="R14" s="70"/>
      <c r="S14" s="70"/>
      <c r="T14" s="70"/>
      <c r="U14" s="70"/>
      <c r="V14" s="70"/>
      <c r="W14" s="70"/>
      <c r="X14" s="70"/>
      <c r="Y14" s="70"/>
      <c r="Z14" s="70"/>
      <c r="AA14" s="70"/>
      <c r="AB14" s="70"/>
      <c r="AC14" s="70"/>
      <c r="AD14" s="70"/>
    </row>
    <row r="15" spans="1:30" s="65" customFormat="1" ht="39" customHeight="1" x14ac:dyDescent="0.25">
      <c r="A15" s="487"/>
      <c r="B15" s="495"/>
      <c r="C15" s="200" t="s">
        <v>112</v>
      </c>
      <c r="D15" s="201">
        <f>IFERROR(D14/$D$11,0)</f>
        <v>0.2417299798392627</v>
      </c>
      <c r="E15" s="201">
        <f>IFERROR(E14/$E$11,0)</f>
        <v>0.20685394744553717</v>
      </c>
      <c r="F15" s="185">
        <f>(E15-D15)*100</f>
        <v>-3.4876032393725525</v>
      </c>
      <c r="G15" s="183" t="b">
        <f>D15=[1]FORM.3!E14</f>
        <v>1</v>
      </c>
      <c r="H15" s="344"/>
      <c r="I15" s="495"/>
      <c r="J15" s="495"/>
      <c r="K15" s="200" t="s">
        <v>112</v>
      </c>
      <c r="L15" s="202">
        <f>IFERROR(L14/L9,)</f>
        <v>0.39605276784063681</v>
      </c>
      <c r="M15" s="202">
        <f>IFERROR(M14/M9,)</f>
        <v>0.36352054030065784</v>
      </c>
      <c r="N15" s="185">
        <f>(M15-L15)*100</f>
        <v>-3.2532227539978975</v>
      </c>
      <c r="O15" s="342"/>
      <c r="P15" s="70"/>
      <c r="Q15" s="70"/>
      <c r="R15" s="70"/>
      <c r="S15" s="70"/>
      <c r="T15" s="70"/>
      <c r="U15" s="70"/>
      <c r="V15" s="70"/>
      <c r="W15" s="70"/>
      <c r="X15" s="70"/>
      <c r="Y15" s="70"/>
      <c r="Z15" s="70"/>
      <c r="AA15" s="70"/>
      <c r="AB15" s="70"/>
      <c r="AC15" s="70"/>
      <c r="AD15" s="70"/>
    </row>
    <row r="16" spans="1:30" s="65" customFormat="1" ht="39" customHeight="1" x14ac:dyDescent="0.25">
      <c r="A16" s="487"/>
      <c r="B16" s="495" t="s">
        <v>189</v>
      </c>
      <c r="C16" s="197" t="s">
        <v>111</v>
      </c>
      <c r="D16" s="198">
        <f>+'Quadro Geral'!I11+'Quadro Geral'!I22+'Quadro Geral'!I28+'Quadro Geral'!I32</f>
        <v>660086.31000000006</v>
      </c>
      <c r="E16" s="198">
        <f>+'Quadro Geral'!L11+'Quadro Geral'!L22+'Quadro Geral'!L28+'Quadro Geral'!L32</f>
        <v>693289.3899999999</v>
      </c>
      <c r="F16" s="182">
        <f>IFERROR(E16/D16*100-100,)</f>
        <v>5.0301118955186013</v>
      </c>
      <c r="G16" s="183" t="b">
        <f>D16=[1]FORM.3!E15</f>
        <v>1</v>
      </c>
      <c r="H16" s="192"/>
      <c r="I16" s="495" t="s">
        <v>190</v>
      </c>
      <c r="J16" s="495"/>
      <c r="K16" s="197" t="s">
        <v>111</v>
      </c>
      <c r="L16" s="184">
        <f>'Quadro Geral'!I26</f>
        <v>31000</v>
      </c>
      <c r="M16" s="184">
        <f>'Quadro Geral'!L26</f>
        <v>31000</v>
      </c>
      <c r="N16" s="185">
        <f>IFERROR(M16/L16*100-100,0)</f>
        <v>0</v>
      </c>
      <c r="O16" s="342"/>
    </row>
    <row r="17" spans="1:15" s="65" customFormat="1" ht="39" customHeight="1" x14ac:dyDescent="0.25">
      <c r="A17" s="487"/>
      <c r="B17" s="495"/>
      <c r="C17" s="200" t="s">
        <v>112</v>
      </c>
      <c r="D17" s="201">
        <f>IFERROR(D16/$D$11,0)</f>
        <v>0.22632358326247362</v>
      </c>
      <c r="E17" s="201">
        <f>IFERROR(E16/$E$11,0)</f>
        <v>0.22221765685571751</v>
      </c>
      <c r="F17" s="185">
        <f>(E17-D17)*100</f>
        <v>-0.41059264067561108</v>
      </c>
      <c r="G17" s="183" t="b">
        <f>D17=[1]FORM.3!E16</f>
        <v>1</v>
      </c>
      <c r="H17" s="344"/>
      <c r="I17" s="495"/>
      <c r="J17" s="495"/>
      <c r="K17" s="200" t="s">
        <v>112</v>
      </c>
      <c r="L17" s="202">
        <f>IFERROR(L16/L7,)</f>
        <v>2.0371659029622461E-2</v>
      </c>
      <c r="M17" s="202">
        <f>IFERROR(M16/M7,)</f>
        <v>2.1612905683340209E-2</v>
      </c>
      <c r="N17" s="185">
        <f>(M17-L17)*100</f>
        <v>0.1241246653717748</v>
      </c>
      <c r="O17" s="342"/>
    </row>
    <row r="18" spans="1:15" s="65" customFormat="1" ht="39" customHeight="1" x14ac:dyDescent="0.3">
      <c r="A18" s="487"/>
      <c r="B18" s="495" t="s">
        <v>191</v>
      </c>
      <c r="C18" s="197" t="s">
        <v>111</v>
      </c>
      <c r="D18" s="198">
        <f>+'Quadro Geral'!I9+'Quadro Geral'!I21+'Quadro Geral'!I25</f>
        <v>331518.28000000003</v>
      </c>
      <c r="E18" s="198">
        <f>+'Quadro Geral'!L9+'Quadro Geral'!L21+'Quadro Geral'!L25</f>
        <v>384177.02</v>
      </c>
      <c r="F18" s="182">
        <f>IFERROR(E18/D18*100-100,)</f>
        <v>15.884113539681735</v>
      </c>
      <c r="G18" s="183" t="b">
        <f>D18=[1]FORM.3!E17</f>
        <v>1</v>
      </c>
      <c r="H18" s="192"/>
      <c r="I18" s="60"/>
      <c r="J18" s="60"/>
      <c r="K18" s="60"/>
      <c r="L18" s="60"/>
      <c r="M18" s="60"/>
      <c r="N18" s="60"/>
      <c r="O18" s="67"/>
    </row>
    <row r="19" spans="1:15" s="65" customFormat="1" ht="39" customHeight="1" x14ac:dyDescent="0.3">
      <c r="A19" s="487"/>
      <c r="B19" s="495"/>
      <c r="C19" s="200" t="s">
        <v>112</v>
      </c>
      <c r="D19" s="201">
        <f>IFERROR(D18/$D$11,0)</f>
        <v>0.11366756727103164</v>
      </c>
      <c r="E19" s="201">
        <f>IFERROR(E18/$E$11,0)</f>
        <v>0.12313893510213987</v>
      </c>
      <c r="F19" s="185">
        <f>(E19-D19)*100</f>
        <v>0.94713678311082328</v>
      </c>
      <c r="G19" s="183" t="b">
        <f>D19=[1]FORM.3!E18</f>
        <v>1</v>
      </c>
      <c r="H19" s="344"/>
      <c r="I19" s="60"/>
      <c r="J19" s="60"/>
      <c r="K19" s="60"/>
      <c r="L19" s="60"/>
      <c r="M19" s="60"/>
      <c r="N19" s="60"/>
    </row>
    <row r="20" spans="1:15" s="65" customFormat="1" ht="39" customHeight="1" x14ac:dyDescent="0.3">
      <c r="A20" s="487"/>
      <c r="B20" s="495" t="s">
        <v>192</v>
      </c>
      <c r="C20" s="197" t="s">
        <v>111</v>
      </c>
      <c r="D20" s="203">
        <f>+'Quadro Geral'!I23</f>
        <v>50000</v>
      </c>
      <c r="E20" s="203">
        <f>+'Quadro Geral'!L23</f>
        <v>50000</v>
      </c>
      <c r="F20" s="182">
        <f>IFERROR(E20/D20*100-100,)</f>
        <v>0</v>
      </c>
      <c r="G20" s="183" t="b">
        <f>D20=[1]FORM.3!E19</f>
        <v>1</v>
      </c>
      <c r="H20" s="296"/>
      <c r="I20" s="296"/>
      <c r="J20" s="296"/>
      <c r="K20" s="60"/>
      <c r="L20" s="60"/>
      <c r="M20" s="60"/>
      <c r="N20" s="60"/>
    </row>
    <row r="21" spans="1:15" s="65" customFormat="1" ht="39" customHeight="1" x14ac:dyDescent="0.3">
      <c r="A21" s="487"/>
      <c r="B21" s="495"/>
      <c r="C21" s="200" t="s">
        <v>112</v>
      </c>
      <c r="D21" s="201">
        <f>IFERROR(D20/$D$11,0)</f>
        <v>1.7143484104561537E-2</v>
      </c>
      <c r="E21" s="201">
        <f>IFERROR(E20/$E$11,0)</f>
        <v>1.6026327538037004E-2</v>
      </c>
      <c r="F21" s="185">
        <f>(E21-D21)*100</f>
        <v>-0.11171565665245332</v>
      </c>
      <c r="G21" s="183" t="b">
        <f>D21=[1]FORM.3!E20</f>
        <v>1</v>
      </c>
      <c r="H21" s="344"/>
      <c r="I21" s="60"/>
      <c r="J21" s="60"/>
      <c r="K21" s="60"/>
      <c r="L21" s="60"/>
      <c r="M21" s="60"/>
      <c r="N21" s="60"/>
    </row>
    <row r="22" spans="1:15" s="65" customFormat="1" ht="39" customHeight="1" x14ac:dyDescent="0.3">
      <c r="A22" s="487"/>
      <c r="B22" s="495" t="s">
        <v>210</v>
      </c>
      <c r="C22" s="197" t="s">
        <v>111</v>
      </c>
      <c r="D22" s="198">
        <f>+'Quadro Geral'!I9+'Quadro Geral'!I15+'Quadro Geral'!I19+'Quadro Geral'!I21+'Quadro Geral'!I25</f>
        <v>484081.27</v>
      </c>
      <c r="E22" s="198">
        <f>+'Quadro Geral'!L9+'Quadro Geral'!L15+'Quadro Geral'!L19+'Quadro Geral'!L21+'Quadro Geral'!L25</f>
        <v>560800.08000000007</v>
      </c>
      <c r="F22" s="182">
        <f>IFERROR(E22/D22*100-100,)</f>
        <v>15.848332657035044</v>
      </c>
      <c r="G22" s="183" t="b">
        <f>D22=[1]FORM.3!E21</f>
        <v>1</v>
      </c>
      <c r="H22" s="192"/>
      <c r="I22" s="60"/>
      <c r="J22" s="60"/>
      <c r="K22" s="60"/>
      <c r="L22" s="60"/>
      <c r="M22" s="60"/>
      <c r="N22" s="60"/>
    </row>
    <row r="23" spans="1:15" s="65" customFormat="1" ht="39" customHeight="1" x14ac:dyDescent="0.3">
      <c r="A23" s="487"/>
      <c r="B23" s="495"/>
      <c r="C23" s="200" t="s">
        <v>112</v>
      </c>
      <c r="D23" s="201">
        <f>IFERROR(D22/$D$11,0)</f>
        <v>0.16597679115121924</v>
      </c>
      <c r="E23" s="201">
        <f>IFERROR(E22/$E$11,0)</f>
        <v>0.17975131530874713</v>
      </c>
      <c r="F23" s="185">
        <f>(E23-D23)*100</f>
        <v>1.377452415752789</v>
      </c>
      <c r="G23" s="183" t="b">
        <f>D23=[1]FORM.3!E22</f>
        <v>1</v>
      </c>
      <c r="H23" s="344"/>
      <c r="I23" s="60"/>
      <c r="J23" s="60"/>
      <c r="K23" s="60"/>
      <c r="L23" s="60"/>
      <c r="M23" s="60"/>
      <c r="N23" s="60"/>
    </row>
    <row r="24" spans="1:15" s="65" customFormat="1" ht="39" customHeight="1" x14ac:dyDescent="0.3">
      <c r="A24" s="487"/>
      <c r="B24" s="495" t="s">
        <v>211</v>
      </c>
      <c r="C24" s="197" t="s">
        <v>111</v>
      </c>
      <c r="D24" s="198">
        <f>+'Quadro Geral'!I27</f>
        <v>60000</v>
      </c>
      <c r="E24" s="198">
        <f>+'Quadro Geral'!L27</f>
        <v>60000</v>
      </c>
      <c r="F24" s="182">
        <f>IFERROR(E24/D24*100-100,)</f>
        <v>0</v>
      </c>
      <c r="G24" s="183" t="b">
        <f>D24=[1]FORM.3!E23</f>
        <v>1</v>
      </c>
      <c r="H24" s="192"/>
      <c r="I24" s="60"/>
      <c r="J24" s="60"/>
      <c r="K24" s="60"/>
      <c r="L24" s="60"/>
      <c r="M24" s="60"/>
      <c r="N24" s="60"/>
    </row>
    <row r="25" spans="1:15" s="65" customFormat="1" ht="39" customHeight="1" x14ac:dyDescent="0.3">
      <c r="A25" s="487"/>
      <c r="B25" s="495"/>
      <c r="C25" s="200" t="s">
        <v>112</v>
      </c>
      <c r="D25" s="201">
        <f>IFERROR(D24/$D$11,0)</f>
        <v>2.0572180925473846E-2</v>
      </c>
      <c r="E25" s="201">
        <f>IFERROR(E24/$E$11,0)</f>
        <v>1.9231593045644407E-2</v>
      </c>
      <c r="F25" s="185">
        <f>(E25-D25)*100</f>
        <v>-0.13405878798294391</v>
      </c>
      <c r="G25" s="183" t="b">
        <f>D25=[1]FORM.3!E24</f>
        <v>1</v>
      </c>
      <c r="H25" s="344"/>
      <c r="I25" s="60"/>
      <c r="J25" s="60"/>
      <c r="K25" s="60"/>
      <c r="L25" s="60"/>
      <c r="M25" s="60"/>
      <c r="N25" s="60"/>
    </row>
    <row r="26" spans="1:15" s="65" customFormat="1" ht="39" customHeight="1" x14ac:dyDescent="0.3">
      <c r="A26" s="487"/>
      <c r="B26" s="495" t="s">
        <v>212</v>
      </c>
      <c r="C26" s="197" t="s">
        <v>111</v>
      </c>
      <c r="D26" s="198">
        <v>0</v>
      </c>
      <c r="E26" s="184">
        <f>'Quadro Geral'!L34</f>
        <v>59999.18</v>
      </c>
      <c r="F26" s="182">
        <f>IFERROR(E26/D26*100-100,)</f>
        <v>0</v>
      </c>
      <c r="G26" s="183"/>
      <c r="H26" s="192"/>
      <c r="I26" s="60"/>
      <c r="J26" s="60"/>
      <c r="K26" s="60"/>
      <c r="L26" s="60"/>
      <c r="M26" s="60"/>
      <c r="N26" s="60"/>
    </row>
    <row r="27" spans="1:15" s="65" customFormat="1" ht="39" customHeight="1" x14ac:dyDescent="0.3">
      <c r="A27" s="487"/>
      <c r="B27" s="495"/>
      <c r="C27" s="200" t="s">
        <v>112</v>
      </c>
      <c r="D27" s="201">
        <f>IFERROR(D26/$D$11,0)</f>
        <v>0</v>
      </c>
      <c r="E27" s="201">
        <f>IFERROR(E26/$E$11,0)</f>
        <v>1.9231330213872782E-2</v>
      </c>
      <c r="F27" s="185">
        <f>(E27-D27)*100</f>
        <v>1.9231330213872782</v>
      </c>
      <c r="G27" s="183" t="b">
        <f>D27=[1]FORM.3!E26</f>
        <v>1</v>
      </c>
      <c r="H27" s="192"/>
      <c r="I27" s="60"/>
      <c r="J27" s="60"/>
      <c r="K27" s="60"/>
      <c r="L27" s="60"/>
      <c r="M27" s="60"/>
      <c r="N27" s="60"/>
    </row>
    <row r="28" spans="1:15" ht="19.5" thickBot="1" x14ac:dyDescent="0.35">
      <c r="A28" s="60"/>
      <c r="B28" s="61"/>
      <c r="C28" s="60"/>
      <c r="D28" s="60"/>
      <c r="E28" s="60"/>
      <c r="F28" s="60"/>
      <c r="G28" s="60"/>
      <c r="H28" s="60"/>
      <c r="I28" s="60"/>
      <c r="J28" s="60"/>
      <c r="K28" s="60"/>
      <c r="L28" s="60"/>
      <c r="M28" s="60"/>
      <c r="N28" s="60"/>
    </row>
    <row r="29" spans="1:15" ht="27" customHeight="1" thickBot="1" x14ac:dyDescent="0.3">
      <c r="A29" s="496" t="s">
        <v>144</v>
      </c>
      <c r="B29" s="497"/>
      <c r="C29" s="497"/>
      <c r="D29" s="497"/>
      <c r="E29" s="497"/>
      <c r="F29" s="497"/>
      <c r="G29" s="497"/>
      <c r="H29" s="497"/>
      <c r="I29" s="497"/>
      <c r="J29" s="497"/>
      <c r="K29" s="497"/>
      <c r="L29" s="497"/>
      <c r="M29" s="497"/>
      <c r="N29" s="498"/>
    </row>
    <row r="30" spans="1:15" ht="108.75" customHeight="1" x14ac:dyDescent="0.3">
      <c r="A30" s="499" t="s">
        <v>640</v>
      </c>
      <c r="B30" s="500"/>
      <c r="C30" s="500"/>
      <c r="D30" s="500"/>
      <c r="E30" s="500"/>
      <c r="F30" s="500"/>
      <c r="G30" s="500"/>
      <c r="H30" s="500"/>
      <c r="I30" s="500"/>
      <c r="J30" s="500"/>
      <c r="K30" s="500"/>
      <c r="L30" s="500"/>
      <c r="M30" s="500"/>
      <c r="N30" s="501"/>
      <c r="O30" s="346">
        <f>25410+79860+50820</f>
        <v>156090</v>
      </c>
    </row>
    <row r="31" spans="1:15" ht="18.75" x14ac:dyDescent="0.3">
      <c r="A31" s="60"/>
      <c r="B31" s="60"/>
      <c r="C31" s="60"/>
      <c r="D31" s="60"/>
      <c r="E31" s="60"/>
      <c r="F31" s="60"/>
      <c r="G31" s="60"/>
      <c r="H31" s="60"/>
      <c r="I31" s="60"/>
      <c r="J31" s="60"/>
      <c r="K31" s="60"/>
      <c r="L31" s="60"/>
      <c r="M31" s="60"/>
      <c r="N31" s="60"/>
    </row>
    <row r="32" spans="1:15" ht="26.25" x14ac:dyDescent="0.4">
      <c r="A32" s="503" t="s">
        <v>759</v>
      </c>
      <c r="B32" s="503"/>
      <c r="C32" s="503"/>
      <c r="D32" s="503"/>
      <c r="E32" s="503"/>
      <c r="F32" s="503"/>
      <c r="G32" s="503"/>
      <c r="H32" s="503"/>
      <c r="I32" s="503"/>
      <c r="J32" s="503"/>
      <c r="K32" s="503"/>
      <c r="L32" s="503"/>
      <c r="M32" s="503"/>
      <c r="N32" s="503"/>
    </row>
    <row r="33" spans="1:14" ht="42" customHeight="1" x14ac:dyDescent="0.25">
      <c r="A33" s="504"/>
      <c r="B33" s="504"/>
      <c r="C33" s="504"/>
      <c r="D33" s="504"/>
      <c r="E33" s="504"/>
      <c r="F33" s="504"/>
      <c r="G33" s="504"/>
      <c r="H33" s="504"/>
      <c r="I33" s="504"/>
      <c r="J33" s="504"/>
      <c r="K33" s="504"/>
      <c r="L33" s="504"/>
      <c r="M33" s="504"/>
      <c r="N33" s="504"/>
    </row>
  </sheetData>
  <sheetProtection selectLockedCells="1"/>
  <mergeCells count="32">
    <mergeCell ref="A32:N32"/>
    <mergeCell ref="A33:N33"/>
    <mergeCell ref="B24:B25"/>
    <mergeCell ref="B22:B23"/>
    <mergeCell ref="B26:B27"/>
    <mergeCell ref="O11:Q11"/>
    <mergeCell ref="B13:C13"/>
    <mergeCell ref="I13:K13"/>
    <mergeCell ref="B14:B15"/>
    <mergeCell ref="I14:J15"/>
    <mergeCell ref="B16:B17"/>
    <mergeCell ref="B20:B21"/>
    <mergeCell ref="A29:N29"/>
    <mergeCell ref="A30:N30"/>
    <mergeCell ref="A13:A27"/>
    <mergeCell ref="I16:J17"/>
    <mergeCell ref="B18:B19"/>
    <mergeCell ref="A3:N3"/>
    <mergeCell ref="A6:A11"/>
    <mergeCell ref="B6:C6"/>
    <mergeCell ref="I6:I9"/>
    <mergeCell ref="J6:K6"/>
    <mergeCell ref="B7:C7"/>
    <mergeCell ref="J7:K7"/>
    <mergeCell ref="B8:C8"/>
    <mergeCell ref="J8:K8"/>
    <mergeCell ref="B9:C9"/>
    <mergeCell ref="J9:K9"/>
    <mergeCell ref="B10:C10"/>
    <mergeCell ref="I10:J10"/>
    <mergeCell ref="A4:N4"/>
    <mergeCell ref="B11:C11"/>
  </mergeCells>
  <pageMargins left="0.51181102362204722" right="0.51181102362204722" top="0.35433070866141736" bottom="0.78740157480314965" header="0.31496062992125984" footer="0.31496062992125984"/>
  <pageSetup paperSize="9" scale="50"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tabColor theme="9"/>
    <pageSetUpPr fitToPage="1"/>
  </sheetPr>
  <dimension ref="A3:AA57"/>
  <sheetViews>
    <sheetView showGridLines="0" topLeftCell="A10" zoomScale="70" zoomScaleNormal="70" zoomScaleSheetLayoutView="80" workbookViewId="0">
      <selection activeCell="E23" sqref="E23"/>
    </sheetView>
  </sheetViews>
  <sheetFormatPr defaultRowHeight="15" x14ac:dyDescent="0.25"/>
  <cols>
    <col min="1" max="1" width="41.42578125" bestFit="1" customWidth="1"/>
    <col min="2" max="2" width="19" customWidth="1"/>
    <col min="3" max="5" width="20" customWidth="1"/>
    <col min="6" max="6" width="26.85546875" customWidth="1"/>
    <col min="7" max="7" width="17.28515625" customWidth="1"/>
    <col min="8" max="8" width="17.42578125" customWidth="1"/>
    <col min="9" max="9" width="17.28515625" hidden="1" customWidth="1"/>
    <col min="10" max="10" width="16.7109375" bestFit="1" customWidth="1"/>
    <col min="11" max="11" width="20.7109375" customWidth="1"/>
    <col min="12" max="12" width="13.5703125" bestFit="1" customWidth="1"/>
    <col min="13" max="13" width="11.140625" bestFit="1" customWidth="1"/>
    <col min="14" max="14" width="15.85546875" bestFit="1" customWidth="1"/>
    <col min="15" max="15" width="17.7109375" customWidth="1"/>
    <col min="16" max="16" width="13.5703125" customWidth="1"/>
  </cols>
  <sheetData>
    <row r="3" spans="1:27" ht="30.75" customHeight="1" x14ac:dyDescent="0.25"/>
    <row r="4" spans="1:27" ht="79.5" customHeight="1" x14ac:dyDescent="0.25">
      <c r="A4" s="505" t="s">
        <v>366</v>
      </c>
      <c r="B4" s="505"/>
      <c r="C4" s="505"/>
      <c r="D4" s="505"/>
      <c r="E4" s="505"/>
      <c r="F4" s="505"/>
      <c r="G4" s="505"/>
      <c r="H4" s="505"/>
    </row>
    <row r="5" spans="1:27" ht="21" x14ac:dyDescent="0.25">
      <c r="A5" s="97" t="s">
        <v>117</v>
      </c>
      <c r="B5" s="83"/>
      <c r="C5" s="83"/>
      <c r="D5" s="83"/>
      <c r="E5" s="83"/>
      <c r="F5" s="83"/>
      <c r="G5" s="83"/>
      <c r="H5" s="96"/>
    </row>
    <row r="6" spans="1:27" s="2" customFormat="1" ht="24" customHeight="1" x14ac:dyDescent="0.25">
      <c r="A6" s="98" t="s">
        <v>213</v>
      </c>
      <c r="B6" s="84"/>
      <c r="C6" s="84"/>
      <c r="D6" s="84"/>
      <c r="E6" s="84"/>
      <c r="F6" s="85"/>
      <c r="G6" s="85"/>
      <c r="H6" s="86"/>
      <c r="I6" s="5"/>
      <c r="J6" s="5"/>
      <c r="K6" s="5"/>
      <c r="L6" s="5"/>
      <c r="M6" s="5"/>
    </row>
    <row r="7" spans="1:27" s="2" customFormat="1" ht="23.25" customHeight="1" x14ac:dyDescent="0.25">
      <c r="A7" s="80"/>
      <c r="B7" s="81"/>
      <c r="C7" s="81"/>
      <c r="D7" s="81"/>
      <c r="E7" s="81"/>
      <c r="F7" s="82"/>
      <c r="G7" s="87" t="s">
        <v>42</v>
      </c>
      <c r="H7" s="82"/>
      <c r="I7" s="5"/>
      <c r="J7" s="5"/>
      <c r="K7" s="5"/>
      <c r="L7" s="5"/>
      <c r="M7" s="5"/>
    </row>
    <row r="8" spans="1:27" ht="23.45" customHeight="1" x14ac:dyDescent="0.25">
      <c r="A8" s="507" t="s">
        <v>24</v>
      </c>
      <c r="B8" s="508" t="s">
        <v>214</v>
      </c>
      <c r="C8" s="509" t="s">
        <v>205</v>
      </c>
      <c r="D8" s="510"/>
      <c r="E8" s="511"/>
      <c r="F8" s="507" t="s">
        <v>43</v>
      </c>
      <c r="G8" s="507"/>
      <c r="H8" s="506" t="s">
        <v>222</v>
      </c>
      <c r="J8" s="55"/>
      <c r="K8" s="274"/>
      <c r="L8" s="55"/>
      <c r="M8" s="55"/>
      <c r="N8" s="55"/>
      <c r="O8" s="55"/>
      <c r="P8" s="55"/>
      <c r="Q8" s="55"/>
      <c r="R8" s="55"/>
      <c r="S8" s="55"/>
      <c r="T8" s="55"/>
      <c r="U8" s="55"/>
      <c r="V8" s="55"/>
      <c r="W8" s="55"/>
      <c r="X8" s="6"/>
      <c r="Y8" s="6"/>
      <c r="Z8" s="6"/>
      <c r="AA8" s="6"/>
    </row>
    <row r="9" spans="1:27" ht="46.15" customHeight="1" x14ac:dyDescent="0.25">
      <c r="A9" s="507"/>
      <c r="B9" s="508"/>
      <c r="C9" s="217" t="s">
        <v>217</v>
      </c>
      <c r="D9" s="217" t="s">
        <v>218</v>
      </c>
      <c r="E9" s="217" t="s">
        <v>219</v>
      </c>
      <c r="F9" s="217" t="s">
        <v>220</v>
      </c>
      <c r="G9" s="218" t="s">
        <v>221</v>
      </c>
      <c r="H9" s="506"/>
      <c r="J9" s="6"/>
      <c r="K9" s="6"/>
      <c r="L9" s="6"/>
      <c r="M9" s="6"/>
      <c r="N9" s="6"/>
      <c r="O9" s="6"/>
      <c r="P9" s="6"/>
      <c r="Q9" s="6"/>
      <c r="R9" s="6"/>
      <c r="S9" s="6"/>
      <c r="T9" s="6"/>
      <c r="U9" s="6"/>
      <c r="V9" s="6"/>
      <c r="W9" s="6"/>
      <c r="X9" s="6"/>
      <c r="Y9" s="6"/>
      <c r="Z9" s="6"/>
      <c r="AA9" s="6"/>
    </row>
    <row r="10" spans="1:27" ht="24.95" customHeight="1" x14ac:dyDescent="0.25">
      <c r="A10" s="113" t="s">
        <v>25</v>
      </c>
      <c r="B10" s="127"/>
      <c r="C10" s="127"/>
      <c r="D10" s="127"/>
      <c r="E10" s="127"/>
      <c r="F10" s="127"/>
      <c r="G10" s="128"/>
      <c r="H10" s="128"/>
      <c r="J10" s="6"/>
      <c r="K10" s="6"/>
      <c r="L10" s="6"/>
      <c r="M10" s="6"/>
      <c r="N10" s="6"/>
      <c r="O10" s="6"/>
      <c r="P10" s="6"/>
      <c r="Q10" s="6"/>
      <c r="R10" s="6"/>
      <c r="S10" s="6"/>
      <c r="T10" s="6"/>
      <c r="U10" s="6"/>
      <c r="V10" s="6"/>
      <c r="W10" s="6"/>
      <c r="X10" s="6"/>
      <c r="Y10" s="6"/>
      <c r="Z10" s="6"/>
      <c r="AA10" s="6"/>
    </row>
    <row r="11" spans="1:27" ht="24.95" customHeight="1" x14ac:dyDescent="0.25">
      <c r="A11" s="99" t="s">
        <v>26</v>
      </c>
      <c r="B11" s="100">
        <f>B12+B22+B23+B24</f>
        <v>3377426</v>
      </c>
      <c r="C11" s="100">
        <f>C12+C22+C23+C24</f>
        <v>1842102.48</v>
      </c>
      <c r="D11" s="100">
        <f>D12+D22+D23+D24</f>
        <v>1674172.54</v>
      </c>
      <c r="E11" s="100">
        <f>E12+E22+E23+E24</f>
        <v>3516275.02</v>
      </c>
      <c r="F11" s="100">
        <f>E11-B11</f>
        <v>138849.02000000002</v>
      </c>
      <c r="G11" s="101">
        <f>IFERROR(F11/B11*100,)</f>
        <v>4.1110899246941317</v>
      </c>
      <c r="H11" s="101">
        <f t="shared" ref="H11:H28" si="0">IFERROR(E11/$E$28*100,0)</f>
        <v>57.868924767661355</v>
      </c>
      <c r="I11" s="339">
        <f>B11-[1]FORM.5!C9</f>
        <v>0</v>
      </c>
      <c r="J11" s="6"/>
      <c r="K11" s="285"/>
      <c r="L11" s="6"/>
      <c r="M11" s="6"/>
      <c r="N11" s="6"/>
      <c r="O11" s="6"/>
      <c r="P11" s="6"/>
      <c r="Q11" s="6"/>
      <c r="R11" s="6"/>
      <c r="S11" s="6"/>
      <c r="T11" s="6"/>
      <c r="U11" s="6"/>
      <c r="V11" s="6"/>
      <c r="W11" s="6"/>
      <c r="X11" s="6"/>
      <c r="Y11" s="6"/>
      <c r="Z11" s="6"/>
      <c r="AA11" s="6"/>
    </row>
    <row r="12" spans="1:27" ht="24.95" customHeight="1" x14ac:dyDescent="0.25">
      <c r="A12" s="102" t="s">
        <v>193</v>
      </c>
      <c r="B12" s="100">
        <f>B13+B20+B21</f>
        <v>3189540</v>
      </c>
      <c r="C12" s="100">
        <f>C13+C20+C21</f>
        <v>1761499.09</v>
      </c>
      <c r="D12" s="100">
        <f>D13+D20+D21</f>
        <v>1591575.93</v>
      </c>
      <c r="E12" s="100">
        <f>E13+E20+E21</f>
        <v>3387350</v>
      </c>
      <c r="F12" s="100">
        <f t="shared" ref="F12:F28" si="1">E12-B12</f>
        <v>197810</v>
      </c>
      <c r="G12" s="101">
        <f t="shared" ref="G12:G36" si="2">IFERROR(F12/B12*100,)</f>
        <v>6.2018347473303361</v>
      </c>
      <c r="H12" s="101">
        <f t="shared" si="0"/>
        <v>55.74714753447747</v>
      </c>
      <c r="I12" s="339">
        <f>B12-[1]FORM.5!C10</f>
        <v>0</v>
      </c>
      <c r="J12" s="6"/>
      <c r="K12" s="285"/>
      <c r="L12" s="6"/>
      <c r="M12" s="6"/>
      <c r="N12" s="6"/>
      <c r="O12" s="6"/>
      <c r="P12" s="6"/>
      <c r="Q12" s="6"/>
      <c r="R12" s="6"/>
      <c r="S12" s="6"/>
      <c r="T12" s="6"/>
      <c r="U12" s="6"/>
      <c r="V12" s="6"/>
      <c r="W12" s="6"/>
      <c r="X12" s="6"/>
      <c r="Y12" s="6"/>
      <c r="Z12" s="6"/>
      <c r="AA12" s="6"/>
    </row>
    <row r="13" spans="1:27" ht="24.95" customHeight="1" x14ac:dyDescent="0.25">
      <c r="A13" s="102" t="s">
        <v>27</v>
      </c>
      <c r="B13" s="100">
        <f>B14+B17</f>
        <v>1640904</v>
      </c>
      <c r="C13" s="100">
        <f>C14+C17</f>
        <v>1108261.52</v>
      </c>
      <c r="D13" s="100">
        <f>D14+D17</f>
        <v>681436.48</v>
      </c>
      <c r="E13" s="100">
        <f>E14+E17</f>
        <v>1789698</v>
      </c>
      <c r="F13" s="100">
        <f t="shared" si="1"/>
        <v>148794</v>
      </c>
      <c r="G13" s="101">
        <f t="shared" si="2"/>
        <v>9.0678065261587513</v>
      </c>
      <c r="H13" s="101">
        <f t="shared" si="0"/>
        <v>29.453867609830475</v>
      </c>
      <c r="I13" s="339">
        <f>B13-[1]FORM.5!C11</f>
        <v>0</v>
      </c>
      <c r="J13" s="6"/>
      <c r="K13" s="289"/>
      <c r="L13" s="512"/>
      <c r="M13" s="512"/>
      <c r="N13" s="512"/>
      <c r="O13" s="512"/>
      <c r="P13" s="512"/>
      <c r="Q13" s="512"/>
      <c r="R13" s="512"/>
      <c r="S13" s="6"/>
      <c r="T13" s="6"/>
      <c r="U13" s="6"/>
      <c r="V13" s="6"/>
      <c r="W13" s="6"/>
      <c r="X13" s="6"/>
      <c r="Y13" s="6"/>
      <c r="Z13" s="6"/>
      <c r="AA13" s="6"/>
    </row>
    <row r="14" spans="1:27" ht="24.95" customHeight="1" x14ac:dyDescent="0.25">
      <c r="A14" s="106" t="s">
        <v>28</v>
      </c>
      <c r="B14" s="135">
        <f>SUM(B15:B16)</f>
        <v>1407854</v>
      </c>
      <c r="C14" s="135">
        <f>SUM(C15:C16)</f>
        <v>965935.57</v>
      </c>
      <c r="D14" s="135">
        <f>SUM(D15:D16)</f>
        <v>522599.43000000005</v>
      </c>
      <c r="E14" s="135">
        <f>SUM(E15:E16)</f>
        <v>1488535</v>
      </c>
      <c r="F14" s="100">
        <f t="shared" si="1"/>
        <v>80681</v>
      </c>
      <c r="G14" s="101">
        <f t="shared" si="2"/>
        <v>5.7307789017895319</v>
      </c>
      <c r="H14" s="101">
        <f t="shared" si="0"/>
        <v>24.497492215222348</v>
      </c>
      <c r="I14" s="339">
        <f>B14-[1]FORM.5!C12</f>
        <v>0</v>
      </c>
      <c r="J14" s="297"/>
      <c r="K14" s="289"/>
      <c r="L14" s="512"/>
      <c r="M14" s="512"/>
      <c r="N14" s="512"/>
      <c r="O14" s="512"/>
      <c r="P14" s="512"/>
      <c r="Q14" s="512"/>
      <c r="R14" s="512"/>
      <c r="S14" s="6"/>
      <c r="T14" s="6"/>
      <c r="U14" s="6"/>
      <c r="V14" s="6"/>
      <c r="W14" s="6"/>
      <c r="X14" s="6"/>
      <c r="Y14" s="6"/>
      <c r="Z14" s="6"/>
      <c r="AA14" s="6"/>
    </row>
    <row r="15" spans="1:27" ht="24.95" customHeight="1" x14ac:dyDescent="0.25">
      <c r="A15" s="103" t="s">
        <v>182</v>
      </c>
      <c r="B15" s="104">
        <v>1227854</v>
      </c>
      <c r="C15" s="104">
        <v>837011.97</v>
      </c>
      <c r="D15" s="104">
        <v>471523.03</v>
      </c>
      <c r="E15" s="104">
        <f>C15+D15</f>
        <v>1308535</v>
      </c>
      <c r="F15" s="100">
        <f t="shared" si="1"/>
        <v>80681</v>
      </c>
      <c r="G15" s="101">
        <f t="shared" si="2"/>
        <v>6.5708952367300997</v>
      </c>
      <c r="H15" s="101">
        <f t="shared" si="0"/>
        <v>21.535150987948537</v>
      </c>
      <c r="I15" s="339">
        <f>B15-[1]FORM.5!C13</f>
        <v>0</v>
      </c>
      <c r="J15" s="133"/>
      <c r="K15" s="286"/>
      <c r="L15" s="132"/>
      <c r="M15" s="132"/>
      <c r="N15" s="132"/>
      <c r="O15" s="132"/>
      <c r="P15" s="132"/>
      <c r="Q15" s="132"/>
      <c r="R15" s="132"/>
      <c r="S15" s="6"/>
      <c r="T15" s="6"/>
      <c r="U15" s="6"/>
      <c r="V15" s="6"/>
      <c r="W15" s="6"/>
      <c r="X15" s="6"/>
      <c r="Y15" s="6"/>
      <c r="Z15" s="6"/>
      <c r="AA15" s="6"/>
    </row>
    <row r="16" spans="1:27" ht="24.95" customHeight="1" x14ac:dyDescent="0.25">
      <c r="A16" s="103" t="s">
        <v>173</v>
      </c>
      <c r="B16" s="104">
        <v>180000</v>
      </c>
      <c r="C16" s="104">
        <v>128923.6</v>
      </c>
      <c r="D16" s="104">
        <v>51076.399999999994</v>
      </c>
      <c r="E16" s="104">
        <f>C16+D16</f>
        <v>180000</v>
      </c>
      <c r="F16" s="100">
        <f t="shared" si="1"/>
        <v>0</v>
      </c>
      <c r="G16" s="101">
        <f t="shared" si="2"/>
        <v>0</v>
      </c>
      <c r="H16" s="101">
        <f t="shared" si="0"/>
        <v>2.9623412272738112</v>
      </c>
      <c r="I16" s="339">
        <f>B16-[1]FORM.5!C14</f>
        <v>0</v>
      </c>
      <c r="J16" s="512"/>
      <c r="K16" s="512"/>
      <c r="L16" s="356"/>
      <c r="M16" s="356"/>
      <c r="N16" s="512"/>
      <c r="O16" s="512"/>
      <c r="P16" s="132"/>
      <c r="Q16" s="132"/>
      <c r="R16" s="132"/>
      <c r="S16" s="6"/>
      <c r="T16" s="6"/>
      <c r="U16" s="6"/>
      <c r="V16" s="6"/>
      <c r="W16" s="6"/>
      <c r="X16" s="6"/>
      <c r="Y16" s="6"/>
      <c r="Z16" s="6"/>
      <c r="AA16" s="6"/>
    </row>
    <row r="17" spans="1:17" ht="24.95" customHeight="1" x14ac:dyDescent="0.25">
      <c r="A17" s="106" t="s">
        <v>29</v>
      </c>
      <c r="B17" s="135">
        <f>SUM(B18:B19)</f>
        <v>233050</v>
      </c>
      <c r="C17" s="135">
        <f>SUM(C18:C19)</f>
        <v>142325.95000000001</v>
      </c>
      <c r="D17" s="135">
        <f>SUM(D18:D19)</f>
        <v>158837.04999999999</v>
      </c>
      <c r="E17" s="135">
        <f>SUM(E18:E19)</f>
        <v>301163</v>
      </c>
      <c r="F17" s="100">
        <f t="shared" si="1"/>
        <v>68113</v>
      </c>
      <c r="G17" s="101">
        <f t="shared" si="2"/>
        <v>29.226775370092255</v>
      </c>
      <c r="H17" s="101">
        <f t="shared" si="0"/>
        <v>4.9563753946081262</v>
      </c>
      <c r="I17" s="339">
        <f>B17-[1]FORM.5!C15</f>
        <v>0</v>
      </c>
      <c r="J17" s="356"/>
      <c r="K17" s="356"/>
      <c r="L17" s="6"/>
      <c r="M17" s="6"/>
      <c r="N17" s="356"/>
      <c r="O17" s="356"/>
    </row>
    <row r="18" spans="1:17" ht="24.95" customHeight="1" x14ac:dyDescent="0.25">
      <c r="A18" s="103" t="s">
        <v>183</v>
      </c>
      <c r="B18" s="105">
        <v>203050</v>
      </c>
      <c r="C18" s="105">
        <v>122259.44</v>
      </c>
      <c r="D18" s="105">
        <f>266163-C18</f>
        <v>143903.56</v>
      </c>
      <c r="E18" s="104">
        <f t="shared" ref="E18:E23" si="3">C18+D18</f>
        <v>266163</v>
      </c>
      <c r="F18" s="100">
        <f t="shared" si="1"/>
        <v>63113</v>
      </c>
      <c r="G18" s="101">
        <f t="shared" si="2"/>
        <v>31.082491997045064</v>
      </c>
      <c r="H18" s="101">
        <f t="shared" si="0"/>
        <v>4.3803646004159962</v>
      </c>
      <c r="I18" s="339">
        <f>B18-[1]FORM.5!C16</f>
        <v>0</v>
      </c>
      <c r="J18" s="364"/>
      <c r="K18" s="364"/>
      <c r="L18" s="285"/>
      <c r="M18" s="6"/>
      <c r="N18" s="6"/>
      <c r="O18" s="6"/>
      <c r="Q18" s="333"/>
    </row>
    <row r="19" spans="1:17" ht="24.95" customHeight="1" x14ac:dyDescent="0.25">
      <c r="A19" s="103" t="s">
        <v>174</v>
      </c>
      <c r="B19" s="105">
        <v>30000</v>
      </c>
      <c r="C19" s="105">
        <v>20066.509999999998</v>
      </c>
      <c r="D19" s="105">
        <f>35000-C19</f>
        <v>14933.490000000002</v>
      </c>
      <c r="E19" s="104">
        <f t="shared" si="3"/>
        <v>35000</v>
      </c>
      <c r="F19" s="100">
        <f t="shared" si="1"/>
        <v>5000</v>
      </c>
      <c r="G19" s="101">
        <f t="shared" si="2"/>
        <v>16.666666666666664</v>
      </c>
      <c r="H19" s="101">
        <f t="shared" si="0"/>
        <v>0.57601079419212997</v>
      </c>
      <c r="I19" s="339">
        <f>B19-[1]FORM.5!C17</f>
        <v>0</v>
      </c>
      <c r="J19" s="133"/>
      <c r="K19" s="287"/>
    </row>
    <row r="20" spans="1:17" ht="24.95" customHeight="1" x14ac:dyDescent="0.25">
      <c r="A20" s="106" t="s">
        <v>150</v>
      </c>
      <c r="B20" s="107">
        <v>1420330</v>
      </c>
      <c r="C20" s="107">
        <v>603218.54</v>
      </c>
      <c r="D20" s="107">
        <v>829417.48</v>
      </c>
      <c r="E20" s="104">
        <v>1466911</v>
      </c>
      <c r="F20" s="100">
        <f t="shared" si="1"/>
        <v>46581</v>
      </c>
      <c r="G20" s="101">
        <f t="shared" si="2"/>
        <v>3.2795899544472062</v>
      </c>
      <c r="H20" s="101">
        <f t="shared" si="0"/>
        <v>24.141616289119185</v>
      </c>
      <c r="I20" s="339">
        <f>B20-[1]FORM.5!C18</f>
        <v>0</v>
      </c>
      <c r="K20" s="287"/>
    </row>
    <row r="21" spans="1:17" ht="24.95" customHeight="1" x14ac:dyDescent="0.25">
      <c r="A21" s="106" t="s">
        <v>120</v>
      </c>
      <c r="B21" s="107">
        <f>22806+1300+49000+68086-12886</f>
        <v>128306</v>
      </c>
      <c r="C21" s="107">
        <f>2577.47+23464.89+21731.4+1692.49+552.78</f>
        <v>50019.03</v>
      </c>
      <c r="D21" s="107">
        <v>80721.97</v>
      </c>
      <c r="E21" s="104">
        <f t="shared" si="3"/>
        <v>130741</v>
      </c>
      <c r="F21" s="100">
        <f t="shared" si="1"/>
        <v>2435</v>
      </c>
      <c r="G21" s="101">
        <f t="shared" si="2"/>
        <v>1.8978068056053496</v>
      </c>
      <c r="H21" s="101">
        <f t="shared" si="0"/>
        <v>2.1516636355278074</v>
      </c>
      <c r="I21" s="339">
        <f>B21-[1]FORM.5!C19</f>
        <v>0</v>
      </c>
      <c r="J21" s="79"/>
      <c r="K21" s="288"/>
      <c r="L21" s="27"/>
    </row>
    <row r="22" spans="1:17" ht="24.95" customHeight="1" x14ac:dyDescent="0.25">
      <c r="A22" s="106" t="s">
        <v>30</v>
      </c>
      <c r="B22" s="107">
        <v>175000</v>
      </c>
      <c r="C22" s="107">
        <v>74447.179999999993</v>
      </c>
      <c r="D22" s="107">
        <f>120000-C22</f>
        <v>45552.820000000007</v>
      </c>
      <c r="E22" s="104">
        <f>C22+D22-34274.16-0.82</f>
        <v>85725.01999999999</v>
      </c>
      <c r="F22" s="100">
        <f t="shared" si="1"/>
        <v>-89274.98000000001</v>
      </c>
      <c r="G22" s="101">
        <f t="shared" si="2"/>
        <v>-51.014274285714286</v>
      </c>
      <c r="H22" s="101">
        <f t="shared" si="0"/>
        <v>1.4108153386381777</v>
      </c>
      <c r="I22" s="339">
        <f>B22-[1]FORM.5!C20</f>
        <v>0</v>
      </c>
      <c r="K22" s="287"/>
    </row>
    <row r="23" spans="1:17" ht="24.95" customHeight="1" x14ac:dyDescent="0.25">
      <c r="A23" s="106" t="s">
        <v>31</v>
      </c>
      <c r="B23" s="108">
        <v>12886</v>
      </c>
      <c r="C23" s="108">
        <v>6156.21</v>
      </c>
      <c r="D23" s="108">
        <v>37043.79</v>
      </c>
      <c r="E23" s="104">
        <f t="shared" si="3"/>
        <v>43200</v>
      </c>
      <c r="F23" s="100">
        <f t="shared" si="1"/>
        <v>30314</v>
      </c>
      <c r="G23" s="101">
        <f t="shared" si="2"/>
        <v>235.24755548657458</v>
      </c>
      <c r="H23" s="101">
        <f t="shared" si="0"/>
        <v>0.71096189454571468</v>
      </c>
      <c r="I23" s="339">
        <f>B23-[1]FORM.5!C21</f>
        <v>0</v>
      </c>
      <c r="K23" s="287"/>
    </row>
    <row r="24" spans="1:17" ht="24.95" customHeight="1" x14ac:dyDescent="0.25">
      <c r="A24" s="106" t="s">
        <v>32</v>
      </c>
      <c r="B24" s="108">
        <v>0</v>
      </c>
      <c r="C24" s="108">
        <v>0</v>
      </c>
      <c r="D24" s="108"/>
      <c r="E24" s="108"/>
      <c r="F24" s="100">
        <f t="shared" si="1"/>
        <v>0</v>
      </c>
      <c r="G24" s="101">
        <f t="shared" si="2"/>
        <v>0</v>
      </c>
      <c r="H24" s="101">
        <f t="shared" si="0"/>
        <v>0</v>
      </c>
      <c r="I24" s="339">
        <f>B24-[1]FORM.5!C22</f>
        <v>0</v>
      </c>
      <c r="K24" s="287"/>
    </row>
    <row r="25" spans="1:17" ht="24.95" customHeight="1" x14ac:dyDescent="0.25">
      <c r="A25" s="99" t="s">
        <v>33</v>
      </c>
      <c r="B25" s="100">
        <f>SUM(B26:B27)</f>
        <v>2260000</v>
      </c>
      <c r="C25" s="100">
        <f>SUM(C26:C27)</f>
        <v>0</v>
      </c>
      <c r="D25" s="100">
        <f>SUM(D26:D27)</f>
        <v>2560000</v>
      </c>
      <c r="E25" s="100">
        <f>SUM(E26:E27)</f>
        <v>2560000</v>
      </c>
      <c r="F25" s="100">
        <f t="shared" si="1"/>
        <v>300000</v>
      </c>
      <c r="G25" s="101">
        <f t="shared" si="2"/>
        <v>13.274336283185843</v>
      </c>
      <c r="H25" s="101">
        <f t="shared" si="0"/>
        <v>42.131075232338652</v>
      </c>
      <c r="I25" s="339">
        <f>B25-[1]FORM.5!C23</f>
        <v>0</v>
      </c>
    </row>
    <row r="26" spans="1:17" ht="36" customHeight="1" x14ac:dyDescent="0.25">
      <c r="A26" s="106" t="s">
        <v>34</v>
      </c>
      <c r="B26" s="108">
        <v>2260000</v>
      </c>
      <c r="C26" s="108">
        <v>0</v>
      </c>
      <c r="D26" s="108">
        <f>2000000+300000+60000+200000</f>
        <v>2560000</v>
      </c>
      <c r="E26" s="108">
        <f>D26-C26</f>
        <v>2560000</v>
      </c>
      <c r="F26" s="100">
        <f t="shared" si="1"/>
        <v>300000</v>
      </c>
      <c r="G26" s="101">
        <f t="shared" si="2"/>
        <v>13.274336283185843</v>
      </c>
      <c r="H26" s="101">
        <f t="shared" si="0"/>
        <v>42.131075232338652</v>
      </c>
      <c r="I26" s="339">
        <f>B26-[1]FORM.5!C24</f>
        <v>0</v>
      </c>
      <c r="J26" s="333"/>
    </row>
    <row r="27" spans="1:17" ht="24.95" customHeight="1" x14ac:dyDescent="0.25">
      <c r="A27" s="106" t="s">
        <v>50</v>
      </c>
      <c r="B27" s="108">
        <v>0</v>
      </c>
      <c r="C27" s="108">
        <v>0</v>
      </c>
      <c r="D27" s="108"/>
      <c r="E27" s="108"/>
      <c r="F27" s="100">
        <f t="shared" si="1"/>
        <v>0</v>
      </c>
      <c r="G27" s="101">
        <f t="shared" si="2"/>
        <v>0</v>
      </c>
      <c r="H27" s="101">
        <f t="shared" si="0"/>
        <v>0</v>
      </c>
      <c r="I27" s="339">
        <f>B27-[1]FORM.5!C25</f>
        <v>0</v>
      </c>
    </row>
    <row r="28" spans="1:17" ht="24.95" customHeight="1" x14ac:dyDescent="0.25">
      <c r="A28" s="99" t="s">
        <v>35</v>
      </c>
      <c r="B28" s="100">
        <f>SUM(B11,B25)</f>
        <v>5637426</v>
      </c>
      <c r="C28" s="100">
        <f>SUM(C11,C25)</f>
        <v>1842102.48</v>
      </c>
      <c r="D28" s="100">
        <f>SUM(D11,D25)</f>
        <v>4234172.54</v>
      </c>
      <c r="E28" s="358">
        <f>SUM(E11,E25)</f>
        <v>6076275.0199999996</v>
      </c>
      <c r="F28" s="100">
        <f t="shared" si="1"/>
        <v>438849.01999999955</v>
      </c>
      <c r="G28" s="101">
        <f t="shared" si="2"/>
        <v>7.7845637352933688</v>
      </c>
      <c r="H28" s="101">
        <f t="shared" si="0"/>
        <v>100</v>
      </c>
      <c r="I28" s="339">
        <f>B28-[1]FORM.5!C26</f>
        <v>0</v>
      </c>
    </row>
    <row r="29" spans="1:17" ht="24.95" customHeight="1" x14ac:dyDescent="0.25">
      <c r="A29" s="113" t="s">
        <v>36</v>
      </c>
      <c r="B29" s="109"/>
      <c r="C29" s="109"/>
      <c r="D29" s="109"/>
      <c r="E29" s="109"/>
      <c r="F29" s="109"/>
      <c r="G29" s="110"/>
      <c r="H29" s="110"/>
      <c r="I29" s="339">
        <f>B29-[1]FORM.5!C27</f>
        <v>0</v>
      </c>
    </row>
    <row r="30" spans="1:17" ht="24.95" customHeight="1" x14ac:dyDescent="0.25">
      <c r="A30" s="102" t="s">
        <v>37</v>
      </c>
      <c r="B30" s="100">
        <f>SUM(B31:B32)</f>
        <v>5363905</v>
      </c>
      <c r="C30" s="100">
        <f>SUM(C31:C32)</f>
        <v>886118.19</v>
      </c>
      <c r="D30" s="100">
        <f>SUM(D31:D32)</f>
        <v>4867133</v>
      </c>
      <c r="E30" s="100">
        <f>SUM(E31:E32)</f>
        <v>5753251.1899999995</v>
      </c>
      <c r="F30" s="100">
        <f>E30-B30</f>
        <v>389346.18999999948</v>
      </c>
      <c r="G30" s="101">
        <f t="shared" si="2"/>
        <v>7.258633215912651</v>
      </c>
      <c r="H30" s="101">
        <f t="shared" ref="H30:H36" si="4">IFERROR(E30/$E$36*100,0)</f>
        <v>94.683851061106182</v>
      </c>
      <c r="I30" s="339">
        <f>B30-[1]FORM.5!C28</f>
        <v>0</v>
      </c>
    </row>
    <row r="31" spans="1:17" ht="24.95" customHeight="1" x14ac:dyDescent="0.25">
      <c r="A31" s="106" t="s">
        <v>38</v>
      </c>
      <c r="B31" s="107">
        <f>'Quadro Geral'!I21+'Quadro Geral'!I22+'Quadro Geral'!I23+'Quadro Geral'!I25+'Quadro Geral'!I27+'Quadro Geral'!I36+'Quadro Geral'!I37+'Quadro Geral'!I35+'Quadro Geral'!I29+'Quadro Geral'!I30</f>
        <v>2765799</v>
      </c>
      <c r="C31" s="107">
        <f>'Quadro Geral'!J21+'Quadro Geral'!J22+'Quadro Geral'!J23+'Quadro Geral'!J25+'Quadro Geral'!J27+'Quadro Geral'!J36+'Quadro Geral'!J37+'Quadro Geral'!J35+'Quadro Geral'!J29+'Quadro Geral'!J30</f>
        <v>523.44000000000005</v>
      </c>
      <c r="D31" s="107">
        <f>'Quadro Geral'!K21+'Quadro Geral'!K22+'Quadro Geral'!K23+'Quadro Geral'!K25+'Quadro Geral'!K27+'Quadro Geral'!K36+'Quadro Geral'!K37+'Quadro Geral'!K35+'Quadro Geral'!K29+'Quadro Geral'!K30</f>
        <v>3092977</v>
      </c>
      <c r="E31" s="107">
        <f>C31+D31</f>
        <v>3093500.44</v>
      </c>
      <c r="F31" s="100">
        <f t="shared" ref="F31:F36" si="5">E31-B31</f>
        <v>327701.43999999994</v>
      </c>
      <c r="G31" s="101">
        <f t="shared" si="2"/>
        <v>11.848346174107371</v>
      </c>
      <c r="H31" s="101">
        <f t="shared" si="4"/>
        <v>50.911132722231521</v>
      </c>
      <c r="I31" s="339">
        <f>B31-[1]FORM.5!C29</f>
        <v>0</v>
      </c>
      <c r="J31" s="365"/>
      <c r="K31" s="365"/>
      <c r="L31" s="365"/>
      <c r="M31" s="365"/>
    </row>
    <row r="32" spans="1:17" ht="24.95" customHeight="1" x14ac:dyDescent="0.25">
      <c r="A32" s="106" t="s">
        <v>126</v>
      </c>
      <c r="B32" s="107">
        <f>+'Quadro Geral'!I9+'Quadro Geral'!I10+'Quadro Geral'!I11+'Quadro Geral'!I12+'Quadro Geral'!I13+'Quadro Geral'!I14+'Quadro Geral'!I15+'Quadro Geral'!I16+'Quadro Geral'!I17+'Quadro Geral'!I18+'Quadro Geral'!I19+'Quadro Geral'!I20+'Quadro Geral'!I26+'Quadro Geral'!I28+'Quadro Geral'!I33</f>
        <v>2598106.0000000005</v>
      </c>
      <c r="C32" s="107">
        <f>+'Quadro Geral'!J9+'Quadro Geral'!J10+'Quadro Geral'!J11+'Quadro Geral'!J12+'Quadro Geral'!J13+'Quadro Geral'!J14+'Quadro Geral'!J15+'Quadro Geral'!J16+'Quadro Geral'!J17+'Quadro Geral'!J18+'Quadro Geral'!J19+'Quadro Geral'!J20+'Quadro Geral'!J26+'Quadro Geral'!J28+'Quadro Geral'!J33</f>
        <v>885594.75</v>
      </c>
      <c r="D32" s="107">
        <f>+'Quadro Geral'!K9+'Quadro Geral'!K10+'Quadro Geral'!K11+'Quadro Geral'!K12+'Quadro Geral'!K13+'Quadro Geral'!K14+'Quadro Geral'!K15+'Quadro Geral'!K16+'Quadro Geral'!K17+'Quadro Geral'!K18+'Quadro Geral'!K19+'Quadro Geral'!K20+'Quadro Geral'!K26+'Quadro Geral'!K28+'Quadro Geral'!K33</f>
        <v>1774156</v>
      </c>
      <c r="E32" s="107">
        <f t="shared" ref="E32:E35" si="6">C32+D32</f>
        <v>2659750.75</v>
      </c>
      <c r="F32" s="100">
        <f t="shared" si="5"/>
        <v>61644.749999999534</v>
      </c>
      <c r="G32" s="101">
        <f t="shared" si="2"/>
        <v>2.3726803294399659</v>
      </c>
      <c r="H32" s="101">
        <f t="shared" si="4"/>
        <v>43.772718338874668</v>
      </c>
      <c r="I32" s="339">
        <f>B32-[1]FORM.5!C30</f>
        <v>0</v>
      </c>
      <c r="J32" s="365"/>
      <c r="K32" s="365"/>
      <c r="L32" s="365"/>
      <c r="M32" s="365"/>
    </row>
    <row r="33" spans="1:13" ht="24.95" customHeight="1" x14ac:dyDescent="0.25">
      <c r="A33" s="106" t="s">
        <v>39</v>
      </c>
      <c r="B33" s="107">
        <f>+'Quadro Geral'!I24</f>
        <v>62980</v>
      </c>
      <c r="C33" s="107">
        <f>+'Quadro Geral'!J24</f>
        <v>26241.65</v>
      </c>
      <c r="D33" s="107">
        <f>'Quadro Geral'!K24</f>
        <v>26242</v>
      </c>
      <c r="E33" s="107">
        <f>C33+D33</f>
        <v>52483.65</v>
      </c>
      <c r="F33" s="100">
        <f t="shared" si="5"/>
        <v>-10496.349999999999</v>
      </c>
      <c r="G33" s="101">
        <f t="shared" si="2"/>
        <v>-16.666163861543346</v>
      </c>
      <c r="H33" s="101">
        <f t="shared" si="4"/>
        <v>0.86374711196005094</v>
      </c>
      <c r="I33" s="339">
        <f>B33-[1]FORM.5!C31</f>
        <v>0</v>
      </c>
      <c r="J33" s="365"/>
      <c r="K33" s="365"/>
      <c r="L33" s="365"/>
      <c r="M33" s="365"/>
    </row>
    <row r="34" spans="1:13" ht="24.95" customHeight="1" x14ac:dyDescent="0.25">
      <c r="A34" s="106" t="s">
        <v>125</v>
      </c>
      <c r="B34" s="107">
        <f>+'Quadro Geral'!I31+'Quadro Geral'!I32</f>
        <v>210541</v>
      </c>
      <c r="C34" s="107">
        <f>+'Quadro Geral'!J31+'Quadro Geral'!J32</f>
        <v>87725.4</v>
      </c>
      <c r="D34" s="107">
        <f>'Quadro Geral'!K31+'Quadro Geral'!K32</f>
        <v>122815.6</v>
      </c>
      <c r="E34" s="107">
        <f t="shared" si="6"/>
        <v>210541</v>
      </c>
      <c r="F34" s="100">
        <f t="shared" si="5"/>
        <v>0</v>
      </c>
      <c r="G34" s="101">
        <f t="shared" si="2"/>
        <v>0</v>
      </c>
      <c r="H34" s="101">
        <f t="shared" si="4"/>
        <v>3.4649682462858635</v>
      </c>
      <c r="I34" s="339">
        <f>B34-[1]FORM.5!C32</f>
        <v>0</v>
      </c>
      <c r="J34" s="365"/>
      <c r="K34" s="365"/>
      <c r="L34" s="365"/>
      <c r="M34" s="365"/>
    </row>
    <row r="35" spans="1:13" ht="24.95" customHeight="1" x14ac:dyDescent="0.25">
      <c r="A35" s="106" t="s">
        <v>51</v>
      </c>
      <c r="B35" s="107">
        <v>0</v>
      </c>
      <c r="C35" s="107">
        <v>0</v>
      </c>
      <c r="D35" s="107">
        <f>'Quadro Geral'!L34</f>
        <v>59999.18</v>
      </c>
      <c r="E35" s="107">
        <f t="shared" si="6"/>
        <v>59999.18</v>
      </c>
      <c r="F35" s="100">
        <f t="shared" si="5"/>
        <v>59999.18</v>
      </c>
      <c r="G35" s="101">
        <f t="shared" si="2"/>
        <v>0</v>
      </c>
      <c r="H35" s="101">
        <f t="shared" si="4"/>
        <v>0.98743358064790165</v>
      </c>
      <c r="I35" s="339">
        <f>B35-[1]FORM.5!C33</f>
        <v>0</v>
      </c>
    </row>
    <row r="36" spans="1:13" ht="24.95" customHeight="1" x14ac:dyDescent="0.25">
      <c r="A36" s="99" t="s">
        <v>40</v>
      </c>
      <c r="B36" s="100">
        <f>SUM(B30,B33:B35)</f>
        <v>5637426</v>
      </c>
      <c r="C36" s="100">
        <f>SUM(C30,C33:C35)</f>
        <v>1000085.24</v>
      </c>
      <c r="D36" s="100">
        <f>SUM(D30,D33:D35)</f>
        <v>5076189.7799999993</v>
      </c>
      <c r="E36" s="358">
        <f>SUM(E30,E33:E35)</f>
        <v>6076275.0199999996</v>
      </c>
      <c r="F36" s="100">
        <f t="shared" si="5"/>
        <v>438849.01999999955</v>
      </c>
      <c r="G36" s="101">
        <f t="shared" si="2"/>
        <v>7.7845637352933688</v>
      </c>
      <c r="H36" s="101">
        <f t="shared" si="4"/>
        <v>100</v>
      </c>
      <c r="I36" s="339">
        <f>B36-[1]FORM.5!C34</f>
        <v>0</v>
      </c>
    </row>
    <row r="37" spans="1:13" ht="24.95" customHeight="1" x14ac:dyDescent="0.25">
      <c r="A37" s="106" t="s">
        <v>41</v>
      </c>
      <c r="B37" s="111">
        <f>B28-B36</f>
        <v>0</v>
      </c>
      <c r="C37" s="100">
        <f>C28-C36</f>
        <v>842017.24</v>
      </c>
      <c r="D37" s="100">
        <f>D28-D36</f>
        <v>-842017.23999999929</v>
      </c>
      <c r="E37" s="361">
        <f>E28-E36</f>
        <v>0</v>
      </c>
      <c r="F37" s="111">
        <f>F28-F36</f>
        <v>0</v>
      </c>
      <c r="G37" s="112"/>
      <c r="H37" s="112"/>
      <c r="I37" s="339">
        <f>B37-[1]FORM.5!C35</f>
        <v>0</v>
      </c>
    </row>
    <row r="38" spans="1:13" ht="31.5" customHeight="1" x14ac:dyDescent="0.25">
      <c r="A38" s="340"/>
      <c r="B38" s="341">
        <f>'Quadro Geral'!I38</f>
        <v>5637426</v>
      </c>
      <c r="C38" s="341">
        <f>'Quadro Geral'!J38</f>
        <v>1000085.24</v>
      </c>
      <c r="D38" s="341">
        <f>'Quadro Geral'!K38</f>
        <v>5076189.7799999993</v>
      </c>
      <c r="E38" s="371">
        <f>'Quadro Geral'!L38</f>
        <v>6076275.0199999996</v>
      </c>
      <c r="F38" s="341">
        <f>'Quadro Geral'!M38</f>
        <v>0</v>
      </c>
      <c r="G38" s="340"/>
      <c r="H38" s="340"/>
      <c r="I38" s="339"/>
    </row>
    <row r="39" spans="1:13" ht="31.5" customHeight="1" x14ac:dyDescent="0.25">
      <c r="A39" s="513" t="s">
        <v>215</v>
      </c>
      <c r="B39" s="514"/>
      <c r="C39" s="514"/>
      <c r="D39" s="514"/>
      <c r="E39" s="514"/>
      <c r="F39" s="514"/>
      <c r="G39" s="514"/>
      <c r="H39" s="515"/>
      <c r="I39" s="339"/>
    </row>
    <row r="40" spans="1:13" ht="24.75" customHeight="1" x14ac:dyDescent="0.25">
      <c r="A40" s="530" t="s">
        <v>164</v>
      </c>
      <c r="B40" s="530"/>
      <c r="C40" s="513" t="s">
        <v>167</v>
      </c>
      <c r="D40" s="514"/>
      <c r="E40" s="515"/>
      <c r="F40" s="513" t="s">
        <v>168</v>
      </c>
      <c r="G40" s="514"/>
      <c r="H40" s="515"/>
    </row>
    <row r="41" spans="1:13" ht="41.25" customHeight="1" x14ac:dyDescent="0.25">
      <c r="A41" s="530"/>
      <c r="B41" s="530"/>
      <c r="C41" s="160" t="s">
        <v>234</v>
      </c>
      <c r="D41" s="160" t="s">
        <v>231</v>
      </c>
      <c r="E41" s="160" t="s">
        <v>169</v>
      </c>
      <c r="F41" s="160" t="s">
        <v>232</v>
      </c>
      <c r="G41" s="160" t="s">
        <v>233</v>
      </c>
      <c r="H41" s="160" t="s">
        <v>185</v>
      </c>
      <c r="I41" t="s">
        <v>167</v>
      </c>
    </row>
    <row r="42" spans="1:13" ht="33.75" customHeight="1" x14ac:dyDescent="0.25">
      <c r="A42" s="529" t="s">
        <v>165</v>
      </c>
      <c r="B42" s="529"/>
      <c r="C42" s="172">
        <f>B11</f>
        <v>3377426</v>
      </c>
      <c r="D42" s="172">
        <f>E11</f>
        <v>3516275.02</v>
      </c>
      <c r="E42" s="166">
        <f>(IFERROR(D42/C42*100-100,0))</f>
        <v>4.1110899246941273</v>
      </c>
      <c r="F42" s="111">
        <v>3377426.0000000005</v>
      </c>
      <c r="G42" s="172">
        <f>'Anexo_1.3_ Elemento de Despesas'!P41</f>
        <v>3516275.0151161067</v>
      </c>
      <c r="H42" s="166">
        <f>(IFERROR(G42/F42*100-100,0))</f>
        <v>4.1110897800901114</v>
      </c>
      <c r="I42" s="27" t="b">
        <f>C42=[1]FORM.5!C40</f>
        <v>1</v>
      </c>
      <c r="J42" s="334"/>
    </row>
    <row r="43" spans="1:13" ht="33.75" customHeight="1" x14ac:dyDescent="0.25">
      <c r="A43" s="529" t="s">
        <v>166</v>
      </c>
      <c r="B43" s="529"/>
      <c r="C43" s="172">
        <f>B25</f>
        <v>2260000</v>
      </c>
      <c r="D43" s="172">
        <f>E25</f>
        <v>2560000</v>
      </c>
      <c r="E43" s="166">
        <f>(IFERROR(D43/C43*100-100,0))</f>
        <v>13.274336283185846</v>
      </c>
      <c r="F43" s="111">
        <v>2260000</v>
      </c>
      <c r="G43" s="172">
        <f>'Anexo_1.3_ Elemento de Despesas'!Q41</f>
        <v>2560000</v>
      </c>
      <c r="H43" s="166">
        <f>(IFERROR(G43/F43*100-100,0))</f>
        <v>13.274336283185846</v>
      </c>
      <c r="I43" s="332" t="b">
        <f>C43=[1]FORM.5!C41</f>
        <v>1</v>
      </c>
      <c r="J43" s="334"/>
    </row>
    <row r="44" spans="1:13" ht="27.75" customHeight="1" x14ac:dyDescent="0.25">
      <c r="A44" s="528" t="s">
        <v>3</v>
      </c>
      <c r="B44" s="528"/>
      <c r="C44" s="163">
        <f>SUM(C42:C43)</f>
        <v>5637426</v>
      </c>
      <c r="D44" s="163">
        <f>SUM(D42:D43)</f>
        <v>6076275.0199999996</v>
      </c>
      <c r="E44" s="165">
        <f>(IFERROR(D44/C44*100-100,0))</f>
        <v>7.784563735293375</v>
      </c>
      <c r="F44" s="163">
        <f>SUM(F42:F43)</f>
        <v>5637426</v>
      </c>
      <c r="G44" s="163">
        <f>SUM(G42:G43)</f>
        <v>6076275.0151161067</v>
      </c>
      <c r="H44" s="165">
        <f>(IFERROR(G44/F44*100-100,0))</f>
        <v>7.784563648659983</v>
      </c>
      <c r="I44" s="332" t="b">
        <f>C44=[1]FORM.5!C42</f>
        <v>1</v>
      </c>
      <c r="J44" s="334"/>
    </row>
    <row r="45" spans="1:13" x14ac:dyDescent="0.25">
      <c r="A45" s="526" t="s">
        <v>186</v>
      </c>
      <c r="B45" s="527"/>
      <c r="C45" s="527"/>
      <c r="D45" s="527"/>
      <c r="E45" s="527"/>
      <c r="F45" s="527"/>
      <c r="G45" s="527"/>
      <c r="H45" s="527"/>
      <c r="J45" s="334"/>
    </row>
    <row r="47" spans="1:13" s="331" customFormat="1" ht="26.25" x14ac:dyDescent="0.4">
      <c r="A47" s="516" t="s">
        <v>760</v>
      </c>
      <c r="B47" s="516"/>
      <c r="C47" s="516"/>
      <c r="D47" s="516"/>
      <c r="E47" s="516"/>
      <c r="F47" s="516"/>
      <c r="G47" s="516"/>
      <c r="H47" s="516"/>
    </row>
    <row r="48" spans="1:13" s="331" customFormat="1" x14ac:dyDescent="0.25">
      <c r="A48" s="517" t="s">
        <v>768</v>
      </c>
      <c r="B48" s="518"/>
      <c r="C48" s="518"/>
      <c r="D48" s="518"/>
      <c r="E48" s="518"/>
      <c r="F48" s="518"/>
      <c r="G48" s="518"/>
      <c r="H48" s="519"/>
    </row>
    <row r="49" spans="1:11" s="331" customFormat="1" x14ac:dyDescent="0.25">
      <c r="A49" s="520"/>
      <c r="B49" s="521"/>
      <c r="C49" s="521"/>
      <c r="D49" s="521"/>
      <c r="E49" s="521"/>
      <c r="F49" s="521"/>
      <c r="G49" s="521"/>
      <c r="H49" s="522"/>
    </row>
    <row r="50" spans="1:11" s="331" customFormat="1" x14ac:dyDescent="0.25">
      <c r="A50" s="520"/>
      <c r="B50" s="521"/>
      <c r="C50" s="521"/>
      <c r="D50" s="521"/>
      <c r="E50" s="521"/>
      <c r="F50" s="521"/>
      <c r="G50" s="521"/>
      <c r="H50" s="522"/>
      <c r="J50" s="370">
        <f>12886-C23</f>
        <v>6729.79</v>
      </c>
      <c r="K50" s="370">
        <f>J50+30314</f>
        <v>37043.79</v>
      </c>
    </row>
    <row r="51" spans="1:11" s="331" customFormat="1" x14ac:dyDescent="0.25">
      <c r="A51" s="523"/>
      <c r="B51" s="524"/>
      <c r="C51" s="524"/>
      <c r="D51" s="524"/>
      <c r="E51" s="524"/>
      <c r="F51" s="524"/>
      <c r="G51" s="524"/>
      <c r="H51" s="525"/>
    </row>
    <row r="52" spans="1:11" s="331" customFormat="1" x14ac:dyDescent="0.25"/>
    <row r="53" spans="1:11" ht="26.25" x14ac:dyDescent="0.4">
      <c r="A53" s="503" t="s">
        <v>759</v>
      </c>
      <c r="B53" s="503"/>
      <c r="C53" s="503"/>
      <c r="D53" s="503"/>
      <c r="E53" s="503"/>
      <c r="F53" s="503"/>
      <c r="G53" s="503"/>
      <c r="H53" s="503"/>
    </row>
    <row r="57" spans="1:11" ht="32.25" customHeight="1" x14ac:dyDescent="0.25"/>
  </sheetData>
  <mergeCells count="26">
    <mergeCell ref="A39:H39"/>
    <mergeCell ref="J16:K16"/>
    <mergeCell ref="A53:H53"/>
    <mergeCell ref="N16:O16"/>
    <mergeCell ref="A47:H47"/>
    <mergeCell ref="A48:H51"/>
    <mergeCell ref="A45:H45"/>
    <mergeCell ref="F40:H40"/>
    <mergeCell ref="C40:E40"/>
    <mergeCell ref="A44:B44"/>
    <mergeCell ref="A43:B43"/>
    <mergeCell ref="A42:B42"/>
    <mergeCell ref="A40:B41"/>
    <mergeCell ref="R13:R14"/>
    <mergeCell ref="L13:L14"/>
    <mergeCell ref="M13:M14"/>
    <mergeCell ref="N13:N14"/>
    <mergeCell ref="O13:O14"/>
    <mergeCell ref="P13:P14"/>
    <mergeCell ref="Q13:Q14"/>
    <mergeCell ref="A4:H4"/>
    <mergeCell ref="H8:H9"/>
    <mergeCell ref="A8:A9"/>
    <mergeCell ref="B8:B9"/>
    <mergeCell ref="F8:G8"/>
    <mergeCell ref="C8:E8"/>
  </mergeCells>
  <pageMargins left="0.23622047244094491" right="0.23622047244094491" top="0.74803149606299213" bottom="0.74803149606299213" header="0.31496062992125984" footer="0.31496062992125984"/>
  <pageSetup paperSize="9" scale="81"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92D050"/>
  </sheetPr>
  <dimension ref="A5:AA54"/>
  <sheetViews>
    <sheetView showGridLines="0" topLeftCell="D1" zoomScale="80" zoomScaleNormal="80" workbookViewId="0">
      <selection activeCell="N37" sqref="N37"/>
    </sheetView>
  </sheetViews>
  <sheetFormatPr defaultColWidth="8.85546875" defaultRowHeight="15" x14ac:dyDescent="0.25"/>
  <cols>
    <col min="1" max="1" width="22.42578125" customWidth="1"/>
    <col min="2" max="2" width="8.7109375" style="28" customWidth="1"/>
    <col min="3" max="3" width="8.7109375" style="28" hidden="1" customWidth="1"/>
    <col min="4" max="4" width="30.28515625" customWidth="1"/>
    <col min="5" max="5" width="19.85546875" customWidth="1"/>
    <col min="6" max="6" width="1.85546875" customWidth="1"/>
    <col min="7" max="7" width="15.7109375" customWidth="1"/>
    <col min="8" max="9" width="12.85546875" customWidth="1"/>
    <col min="10" max="10" width="13.42578125" customWidth="1"/>
    <col min="11" max="11" width="13.85546875" customWidth="1"/>
    <col min="12" max="12" width="15.42578125" customWidth="1"/>
    <col min="13" max="13" width="14.140625" customWidth="1"/>
    <col min="14" max="14" width="12.28515625" customWidth="1"/>
    <col min="15" max="15" width="14.28515625" customWidth="1"/>
    <col min="16" max="16" width="13" customWidth="1"/>
    <col min="17" max="17" width="15.42578125" customWidth="1"/>
    <col min="18" max="18" width="15.85546875" customWidth="1"/>
    <col min="19" max="19" width="9.42578125" customWidth="1"/>
  </cols>
  <sheetData>
    <row r="5" spans="1:27" s="129" customFormat="1" ht="18.75" x14ac:dyDescent="0.3">
      <c r="A5" s="64" t="s">
        <v>118</v>
      </c>
      <c r="B5" s="64"/>
      <c r="C5" s="64"/>
      <c r="D5" s="64"/>
      <c r="E5" s="64"/>
      <c r="F5" s="64"/>
      <c r="G5" s="64"/>
      <c r="H5" s="64"/>
      <c r="I5" s="64"/>
      <c r="J5" s="64"/>
      <c r="K5" s="64"/>
      <c r="L5" s="64"/>
      <c r="M5" s="64"/>
      <c r="N5" s="64"/>
      <c r="O5" s="64"/>
      <c r="P5" s="64"/>
      <c r="Q5" s="64"/>
      <c r="R5" s="64"/>
      <c r="S5" s="64"/>
      <c r="T5" s="130"/>
      <c r="U5" s="131"/>
    </row>
    <row r="6" spans="1:27" ht="21.75" customHeight="1" x14ac:dyDescent="0.25">
      <c r="A6" s="531" t="s">
        <v>117</v>
      </c>
      <c r="B6" s="531"/>
      <c r="C6" s="531"/>
      <c r="D6" s="531"/>
      <c r="E6" s="531"/>
      <c r="F6" s="531"/>
      <c r="G6" s="531"/>
      <c r="H6" s="531"/>
      <c r="I6" s="531"/>
      <c r="J6" s="531"/>
      <c r="K6" s="531"/>
      <c r="L6" s="531"/>
      <c r="M6" s="531"/>
      <c r="N6" s="531"/>
      <c r="O6" s="531"/>
      <c r="P6" s="531"/>
      <c r="Q6" s="531"/>
      <c r="R6" s="531"/>
      <c r="S6" s="531"/>
      <c r="T6" s="29"/>
      <c r="U6" s="30"/>
    </row>
    <row r="7" spans="1:27" s="31" customFormat="1" ht="26.25" customHeight="1" x14ac:dyDescent="0.25">
      <c r="A7" s="538" t="s">
        <v>229</v>
      </c>
      <c r="B7" s="539"/>
      <c r="C7" s="539"/>
      <c r="D7" s="539"/>
      <c r="E7" s="539"/>
      <c r="F7" s="539"/>
      <c r="G7" s="540"/>
      <c r="H7" s="540"/>
      <c r="I7" s="540"/>
      <c r="J7" s="540"/>
      <c r="K7" s="540"/>
      <c r="L7" s="540"/>
      <c r="M7" s="540"/>
      <c r="N7" s="540"/>
      <c r="O7" s="540"/>
      <c r="P7" s="540"/>
      <c r="Q7" s="540"/>
      <c r="R7" s="540"/>
      <c r="S7" s="541"/>
      <c r="T7" s="32"/>
      <c r="U7" s="33"/>
    </row>
    <row r="8" spans="1:27" x14ac:dyDescent="0.25">
      <c r="A8" s="6"/>
      <c r="B8" s="121"/>
      <c r="C8" s="121"/>
      <c r="D8" s="6"/>
      <c r="E8" s="6"/>
      <c r="F8" s="6"/>
    </row>
    <row r="9" spans="1:27" s="36" customFormat="1" ht="18.75" hidden="1" x14ac:dyDescent="0.3">
      <c r="A9" s="114"/>
      <c r="B9" s="59"/>
      <c r="C9" s="59"/>
      <c r="D9" s="58"/>
      <c r="E9" s="115"/>
      <c r="F9" s="34"/>
      <c r="G9" s="34"/>
      <c r="H9" s="34"/>
      <c r="I9" s="34"/>
      <c r="J9" s="34"/>
      <c r="K9" s="34"/>
      <c r="L9" s="34"/>
      <c r="M9" s="34"/>
      <c r="N9" s="34"/>
      <c r="O9" s="34"/>
      <c r="P9" s="34"/>
      <c r="Q9" s="34"/>
      <c r="R9" s="34"/>
      <c r="S9" s="34"/>
      <c r="T9" s="37"/>
      <c r="U9" s="38"/>
    </row>
    <row r="10" spans="1:27" s="39" customFormat="1" ht="27" customHeight="1" x14ac:dyDescent="0.3">
      <c r="A10" s="537" t="s">
        <v>21</v>
      </c>
      <c r="B10" s="533" t="s">
        <v>90</v>
      </c>
      <c r="C10" s="533" t="s">
        <v>87</v>
      </c>
      <c r="D10" s="533" t="s">
        <v>95</v>
      </c>
      <c r="E10" s="533" t="s">
        <v>181</v>
      </c>
      <c r="F10" s="116"/>
      <c r="G10" s="534" t="s">
        <v>9</v>
      </c>
      <c r="H10" s="534"/>
      <c r="I10" s="533" t="s">
        <v>96</v>
      </c>
      <c r="J10" s="534" t="s">
        <v>97</v>
      </c>
      <c r="K10" s="534"/>
      <c r="L10" s="534"/>
      <c r="M10" s="534"/>
      <c r="N10" s="534"/>
      <c r="O10" s="535" t="s">
        <v>98</v>
      </c>
      <c r="P10" s="535" t="s">
        <v>99</v>
      </c>
      <c r="Q10" s="533" t="s">
        <v>10</v>
      </c>
      <c r="R10" s="534" t="s">
        <v>3</v>
      </c>
      <c r="S10" s="534" t="s">
        <v>100</v>
      </c>
      <c r="T10" s="37"/>
      <c r="U10" s="40"/>
    </row>
    <row r="11" spans="1:27" s="39" customFormat="1" ht="40.15" customHeight="1" x14ac:dyDescent="0.25">
      <c r="A11" s="537"/>
      <c r="B11" s="533"/>
      <c r="C11" s="533"/>
      <c r="D11" s="533"/>
      <c r="E11" s="533"/>
      <c r="F11" s="117"/>
      <c r="G11" s="161" t="s">
        <v>137</v>
      </c>
      <c r="H11" s="161" t="s">
        <v>101</v>
      </c>
      <c r="I11" s="533"/>
      <c r="J11" s="161" t="s">
        <v>101</v>
      </c>
      <c r="K11" s="161" t="s">
        <v>102</v>
      </c>
      <c r="L11" s="161" t="s">
        <v>103</v>
      </c>
      <c r="M11" s="161" t="s">
        <v>104</v>
      </c>
      <c r="N11" s="161" t="s">
        <v>105</v>
      </c>
      <c r="O11" s="535"/>
      <c r="P11" s="535"/>
      <c r="Q11" s="533"/>
      <c r="R11" s="534"/>
      <c r="S11" s="534"/>
      <c r="T11" s="544"/>
      <c r="U11" s="544"/>
      <c r="V11" s="544"/>
      <c r="W11" s="544"/>
      <c r="X11" s="544"/>
      <c r="Y11" s="544"/>
      <c r="Z11" s="544"/>
      <c r="AA11" s="544"/>
    </row>
    <row r="12" spans="1:27" s="34" customFormat="1" ht="56.25" x14ac:dyDescent="0.3">
      <c r="A12" s="50" t="str">
        <f>'Quadro Geral'!A9</f>
        <v>Presidência</v>
      </c>
      <c r="B12" s="51" t="str">
        <f>'Quadro Geral'!B9</f>
        <v>A</v>
      </c>
      <c r="C12" s="52">
        <f>'Quadro Geral'!D9</f>
        <v>0</v>
      </c>
      <c r="D12" s="53" t="str">
        <f>'Quadro Geral'!E9</f>
        <v>Articulação Institucional e fomento de parcerias estratégicas.</v>
      </c>
      <c r="E12" s="41">
        <f>'Quadro Geral'!L9</f>
        <v>183676.58000000002</v>
      </c>
      <c r="F12" s="118"/>
      <c r="G12" s="290">
        <v>72176.157462150004</v>
      </c>
      <c r="H12" s="290">
        <v>4000</v>
      </c>
      <c r="I12" s="290"/>
      <c r="J12" s="290">
        <v>75000</v>
      </c>
      <c r="K12" s="372">
        <v>32500.400000000001</v>
      </c>
      <c r="L12" s="290"/>
      <c r="M12" s="290"/>
      <c r="N12" s="290"/>
      <c r="O12" s="290"/>
      <c r="P12" s="48">
        <f>SUM(G12:O12)</f>
        <v>183676.55746215</v>
      </c>
      <c r="Q12" s="47"/>
      <c r="R12" s="48">
        <f>P12+Q12</f>
        <v>183676.55746215</v>
      </c>
      <c r="S12" s="49">
        <f t="shared" ref="S12:S40" si="0">IFERROR(R12/$R$41*100,0)</f>
        <v>3.0228479949510692</v>
      </c>
      <c r="T12" s="349">
        <f>E12-R12</f>
        <v>2.2537850018125027E-2</v>
      </c>
    </row>
    <row r="13" spans="1:27" s="34" customFormat="1" ht="23.25" customHeight="1" x14ac:dyDescent="0.3">
      <c r="A13" s="50" t="str">
        <f>'Quadro Geral'!A10</f>
        <v>Direção Geral</v>
      </c>
      <c r="B13" s="51" t="str">
        <f>'Quadro Geral'!B10</f>
        <v>A</v>
      </c>
      <c r="C13" s="52">
        <f>'Quadro Geral'!D10</f>
        <v>0</v>
      </c>
      <c r="D13" s="53" t="str">
        <f>'Quadro Geral'!E10</f>
        <v>Manutenção Institucional</v>
      </c>
      <c r="E13" s="41">
        <f>'Quadro Geral'!L10</f>
        <v>596890.62</v>
      </c>
      <c r="F13" s="118"/>
      <c r="G13" s="290">
        <v>272545.19313333329</v>
      </c>
      <c r="H13" s="290">
        <v>2500</v>
      </c>
      <c r="I13" s="290">
        <v>27500</v>
      </c>
      <c r="J13" s="290">
        <v>0</v>
      </c>
      <c r="K13" s="372">
        <v>4900.6000000000004</v>
      </c>
      <c r="L13" s="290">
        <v>153670</v>
      </c>
      <c r="M13" s="290">
        <v>120678</v>
      </c>
      <c r="N13" s="290">
        <v>15096.78</v>
      </c>
      <c r="O13" s="290"/>
      <c r="P13" s="48">
        <f t="shared" ref="P13:P23" si="1">SUM(G13:O13)</f>
        <v>596890.57313333335</v>
      </c>
      <c r="Q13" s="47"/>
      <c r="R13" s="48">
        <f t="shared" ref="R13:R40" si="2">P13+Q13</f>
        <v>596890.57313333335</v>
      </c>
      <c r="S13" s="49">
        <f t="shared" si="0"/>
        <v>9.8232975243621006</v>
      </c>
      <c r="T13" s="349">
        <f t="shared" ref="T13:T41" si="3">E13-R13</f>
        <v>4.6866666642017663E-2</v>
      </c>
    </row>
    <row r="14" spans="1:27" s="34" customFormat="1" ht="93.75" x14ac:dyDescent="0.3">
      <c r="A14" s="50" t="str">
        <f>'Quadro Geral'!A11</f>
        <v>Gerência Técnica</v>
      </c>
      <c r="B14" s="51" t="str">
        <f>'Quadro Geral'!B11</f>
        <v>A</v>
      </c>
      <c r="C14" s="52">
        <f>'Quadro Geral'!D11</f>
        <v>0</v>
      </c>
      <c r="D14" s="53" t="str">
        <f>'Quadro Geral'!E11</f>
        <v>Orientação, esclarecimento e atendimento de demandas de profissionais e empresas</v>
      </c>
      <c r="E14" s="41">
        <f>'Quadro Geral'!L11</f>
        <v>212902.52</v>
      </c>
      <c r="F14" s="118"/>
      <c r="G14" s="372">
        <v>191732.52</v>
      </c>
      <c r="H14" s="290">
        <v>2000</v>
      </c>
      <c r="I14" s="290"/>
      <c r="J14" s="290"/>
      <c r="K14" s="290">
        <v>1500</v>
      </c>
      <c r="L14" s="290">
        <v>17670</v>
      </c>
      <c r="M14" s="290"/>
      <c r="N14" s="290"/>
      <c r="O14" s="290"/>
      <c r="P14" s="48">
        <f t="shared" si="1"/>
        <v>212902.52</v>
      </c>
      <c r="Q14" s="47"/>
      <c r="R14" s="48">
        <f t="shared" si="2"/>
        <v>212902.52</v>
      </c>
      <c r="S14" s="49">
        <f t="shared" si="0"/>
        <v>3.5038328494078508</v>
      </c>
      <c r="T14" s="349">
        <f t="shared" si="3"/>
        <v>0</v>
      </c>
    </row>
    <row r="15" spans="1:27" s="34" customFormat="1" ht="56.25" x14ac:dyDescent="0.3">
      <c r="A15" s="50" t="str">
        <f>'Quadro Geral'!A12</f>
        <v>Gerência de Operações</v>
      </c>
      <c r="B15" s="51" t="str">
        <f>'Quadro Geral'!B12</f>
        <v>A</v>
      </c>
      <c r="C15" s="52">
        <f>'Quadro Geral'!D12</f>
        <v>0</v>
      </c>
      <c r="D15" s="53" t="str">
        <f>'Quadro Geral'!E12</f>
        <v>Operacionalização dos processos éticos e de multa/fiscalização</v>
      </c>
      <c r="E15" s="41">
        <f>'Quadro Geral'!L12</f>
        <v>81750.51999999999</v>
      </c>
      <c r="F15" s="118"/>
      <c r="G15" s="372">
        <v>74750.52</v>
      </c>
      <c r="H15" s="290">
        <v>0</v>
      </c>
      <c r="I15" s="290"/>
      <c r="J15" s="290"/>
      <c r="K15" s="290">
        <v>0</v>
      </c>
      <c r="L15" s="290">
        <v>7000</v>
      </c>
      <c r="M15" s="290"/>
      <c r="N15" s="290"/>
      <c r="O15" s="290"/>
      <c r="P15" s="48">
        <f t="shared" si="1"/>
        <v>81750.52</v>
      </c>
      <c r="Q15" s="47"/>
      <c r="R15" s="48">
        <f t="shared" si="2"/>
        <v>81750.52</v>
      </c>
      <c r="S15" s="49">
        <f t="shared" si="0"/>
        <v>1.3454051996762344</v>
      </c>
      <c r="T15" s="349">
        <f t="shared" si="3"/>
        <v>0</v>
      </c>
    </row>
    <row r="16" spans="1:27" s="34" customFormat="1" ht="37.5" x14ac:dyDescent="0.3">
      <c r="A16" s="50" t="str">
        <f>'Quadro Geral'!A13</f>
        <v>Gerência Adm. Financeira</v>
      </c>
      <c r="B16" s="51" t="str">
        <f>'Quadro Geral'!B13</f>
        <v>A</v>
      </c>
      <c r="C16" s="52">
        <f>'Quadro Geral'!D13</f>
        <v>0</v>
      </c>
      <c r="D16" s="53" t="str">
        <f>'Quadro Geral'!E13</f>
        <v>Manutenção Administrativa financeira</v>
      </c>
      <c r="E16" s="41">
        <f>'Quadro Geral'!L13</f>
        <v>417900.58999999997</v>
      </c>
      <c r="F16" s="118"/>
      <c r="G16" s="372">
        <v>158030.57999999999</v>
      </c>
      <c r="H16" s="290">
        <v>5000</v>
      </c>
      <c r="I16" s="290"/>
      <c r="J16" s="290">
        <v>2000</v>
      </c>
      <c r="K16" s="290">
        <v>6500</v>
      </c>
      <c r="L16" s="290">
        <v>246370</v>
      </c>
      <c r="M16" s="290"/>
      <c r="N16" s="290"/>
      <c r="O16" s="290"/>
      <c r="P16" s="48">
        <f t="shared" si="1"/>
        <v>417900.57999999996</v>
      </c>
      <c r="Q16" s="47"/>
      <c r="R16" s="48">
        <f t="shared" si="2"/>
        <v>417900.57999999996</v>
      </c>
      <c r="S16" s="49">
        <f t="shared" si="0"/>
        <v>6.8775784335037153</v>
      </c>
      <c r="T16" s="349">
        <f t="shared" si="3"/>
        <v>1.0000000009313226E-2</v>
      </c>
    </row>
    <row r="17" spans="1:20" s="34" customFormat="1" ht="37.5" x14ac:dyDescent="0.3">
      <c r="A17" s="50" t="str">
        <f>'Quadro Geral'!A14</f>
        <v>Assessoria Jurídica</v>
      </c>
      <c r="B17" s="51" t="str">
        <f>'Quadro Geral'!B14</f>
        <v>A</v>
      </c>
      <c r="C17" s="52">
        <f>'Quadro Geral'!D14</f>
        <v>0</v>
      </c>
      <c r="D17" s="53" t="str">
        <f>'Quadro Geral'!E14</f>
        <v>Consultoria e Assessoria Jurídica</v>
      </c>
      <c r="E17" s="41">
        <f>'Quadro Geral'!L14</f>
        <v>206554.6</v>
      </c>
      <c r="F17" s="118"/>
      <c r="G17" s="372">
        <v>158030.6</v>
      </c>
      <c r="H17" s="290">
        <v>3500</v>
      </c>
      <c r="I17" s="290"/>
      <c r="J17" s="290"/>
      <c r="K17" s="290">
        <v>3000</v>
      </c>
      <c r="L17" s="290">
        <v>42024</v>
      </c>
      <c r="M17" s="290"/>
      <c r="N17" s="290"/>
      <c r="O17" s="290"/>
      <c r="P17" s="48">
        <f t="shared" si="1"/>
        <v>206554.6</v>
      </c>
      <c r="Q17" s="47"/>
      <c r="R17" s="48">
        <f t="shared" si="2"/>
        <v>206554.6</v>
      </c>
      <c r="S17" s="49">
        <f t="shared" si="0"/>
        <v>3.3993622653047924</v>
      </c>
      <c r="T17" s="349">
        <f t="shared" si="3"/>
        <v>0</v>
      </c>
    </row>
    <row r="18" spans="1:20" s="34" customFormat="1" ht="56.25" x14ac:dyDescent="0.3">
      <c r="A18" s="50" t="str">
        <f>'Quadro Geral'!A15</f>
        <v>Comissão de Ética</v>
      </c>
      <c r="B18" s="51" t="str">
        <f>'Quadro Geral'!B15</f>
        <v>A</v>
      </c>
      <c r="C18" s="52">
        <f>'Quadro Geral'!D15</f>
        <v>0</v>
      </c>
      <c r="D18" s="53" t="str">
        <f>'Quadro Geral'!E15</f>
        <v>Operacionalização e processamento dos  processos éticos</v>
      </c>
      <c r="E18" s="41">
        <f>'Quadro Geral'!L15</f>
        <v>143122.57</v>
      </c>
      <c r="F18" s="118"/>
      <c r="G18" s="372">
        <v>75122.59</v>
      </c>
      <c r="H18" s="290">
        <v>10000</v>
      </c>
      <c r="I18" s="290"/>
      <c r="J18" s="290">
        <v>35000</v>
      </c>
      <c r="K18" s="290">
        <v>23000</v>
      </c>
      <c r="L18" s="290"/>
      <c r="M18" s="290"/>
      <c r="N18" s="290"/>
      <c r="O18" s="290"/>
      <c r="P18" s="48">
        <f t="shared" si="1"/>
        <v>143122.59</v>
      </c>
      <c r="Q18" s="47"/>
      <c r="R18" s="48">
        <f t="shared" si="2"/>
        <v>143122.59</v>
      </c>
      <c r="S18" s="49">
        <f t="shared" si="0"/>
        <v>2.3554330513999155</v>
      </c>
      <c r="T18" s="349">
        <f t="shared" si="3"/>
        <v>-1.9999999989522621E-2</v>
      </c>
    </row>
    <row r="19" spans="1:20" s="34" customFormat="1" ht="56.25" x14ac:dyDescent="0.3">
      <c r="A19" s="50" t="str">
        <f>'Quadro Geral'!A16</f>
        <v>Comissão de Atos Administrativos</v>
      </c>
      <c r="B19" s="51" t="str">
        <f>'Quadro Geral'!B16</f>
        <v>A</v>
      </c>
      <c r="C19" s="52">
        <f>'Quadro Geral'!D16</f>
        <v>0</v>
      </c>
      <c r="D19" s="53" t="str">
        <f>'Quadro Geral'!E16</f>
        <v>Assessoramento organizacional-institucional</v>
      </c>
      <c r="E19" s="41">
        <f>'Quadro Geral'!L16</f>
        <v>11000</v>
      </c>
      <c r="F19" s="118"/>
      <c r="G19" s="290"/>
      <c r="H19" s="290"/>
      <c r="I19" s="290"/>
      <c r="J19" s="290">
        <v>9000</v>
      </c>
      <c r="K19" s="290">
        <v>2000</v>
      </c>
      <c r="L19" s="290"/>
      <c r="M19" s="290"/>
      <c r="N19" s="290"/>
      <c r="O19" s="290"/>
      <c r="P19" s="48">
        <f t="shared" si="1"/>
        <v>11000</v>
      </c>
      <c r="Q19" s="47"/>
      <c r="R19" s="48">
        <f t="shared" si="2"/>
        <v>11000</v>
      </c>
      <c r="S19" s="49">
        <f t="shared" si="0"/>
        <v>0.18103196403446215</v>
      </c>
      <c r="T19" s="349">
        <f t="shared" si="3"/>
        <v>0</v>
      </c>
    </row>
    <row r="20" spans="1:20" s="34" customFormat="1" ht="75" x14ac:dyDescent="0.3">
      <c r="A20" s="50" t="str">
        <f>'Quadro Geral'!A17</f>
        <v>Comissão de Exercício Profissional e Fiscalização</v>
      </c>
      <c r="B20" s="51" t="str">
        <f>'Quadro Geral'!B17</f>
        <v>A</v>
      </c>
      <c r="C20" s="52">
        <f>'Quadro Geral'!D17</f>
        <v>0</v>
      </c>
      <c r="D20" s="53" t="str">
        <f>'Quadro Geral'!E17</f>
        <v>Operacionalização da Fiscalização e fomento da valorização profissional</v>
      </c>
      <c r="E20" s="41">
        <f>'Quadro Geral'!L17</f>
        <v>30000.09</v>
      </c>
      <c r="F20" s="118"/>
      <c r="G20" s="290"/>
      <c r="H20" s="290"/>
      <c r="I20" s="290"/>
      <c r="J20" s="372">
        <v>20000.099999999999</v>
      </c>
      <c r="K20" s="290">
        <v>10000</v>
      </c>
      <c r="L20" s="290"/>
      <c r="M20" s="290"/>
      <c r="N20" s="290"/>
      <c r="O20" s="290"/>
      <c r="P20" s="48">
        <f t="shared" si="1"/>
        <v>30000.1</v>
      </c>
      <c r="Q20" s="47"/>
      <c r="R20" s="48">
        <f t="shared" si="2"/>
        <v>30000.1</v>
      </c>
      <c r="S20" s="49">
        <f t="shared" si="0"/>
        <v>0.49372518402093346</v>
      </c>
      <c r="T20" s="349">
        <f t="shared" si="3"/>
        <v>-9.9999999983992893E-3</v>
      </c>
    </row>
    <row r="21" spans="1:20" s="34" customFormat="1" ht="56.25" x14ac:dyDescent="0.3">
      <c r="A21" s="50" t="str">
        <f>'Quadro Geral'!A18</f>
        <v>Comissão de Planejamento e Finanças</v>
      </c>
      <c r="B21" s="51" t="str">
        <f>'Quadro Geral'!B18</f>
        <v>A</v>
      </c>
      <c r="C21" s="52">
        <f>'Quadro Geral'!D18</f>
        <v>0</v>
      </c>
      <c r="D21" s="53" t="str">
        <f>'Quadro Geral'!E18</f>
        <v>Operacionalização, Planejamento e Controle do CAU</v>
      </c>
      <c r="E21" s="41">
        <f>'Quadro Geral'!L18</f>
        <v>27999.87</v>
      </c>
      <c r="F21" s="118"/>
      <c r="G21" s="290"/>
      <c r="H21" s="290"/>
      <c r="I21" s="290"/>
      <c r="J21" s="372">
        <f>18000-0.1</f>
        <v>17999.900000000001</v>
      </c>
      <c r="K21" s="290">
        <v>10000</v>
      </c>
      <c r="L21" s="290"/>
      <c r="M21" s="290"/>
      <c r="N21" s="290"/>
      <c r="O21" s="290"/>
      <c r="P21" s="48">
        <f t="shared" si="1"/>
        <v>27999.9</v>
      </c>
      <c r="Q21" s="47"/>
      <c r="R21" s="48">
        <f t="shared" si="2"/>
        <v>27999.9</v>
      </c>
      <c r="S21" s="49">
        <f t="shared" si="0"/>
        <v>0.46080698997895791</v>
      </c>
      <c r="T21" s="349">
        <f t="shared" si="3"/>
        <v>-3.0000000002473826E-2</v>
      </c>
    </row>
    <row r="22" spans="1:20" s="34" customFormat="1" ht="56.25" x14ac:dyDescent="0.3">
      <c r="A22" s="50" t="str">
        <f>'Quadro Geral'!A19</f>
        <v>Comissão de Ensino</v>
      </c>
      <c r="B22" s="51" t="str">
        <f>'Quadro Geral'!B19</f>
        <v>A</v>
      </c>
      <c r="C22" s="52">
        <f>'Quadro Geral'!D19</f>
        <v>0</v>
      </c>
      <c r="D22" s="53" t="str">
        <f>'Quadro Geral'!E19</f>
        <v>Fomento ao aperfeiçoamento e à formação profissional</v>
      </c>
      <c r="E22" s="41">
        <f>'Quadro Geral'!L19</f>
        <v>33500.49</v>
      </c>
      <c r="F22" s="118"/>
      <c r="G22" s="290"/>
      <c r="H22" s="290">
        <v>2000</v>
      </c>
      <c r="I22" s="290"/>
      <c r="J22" s="290">
        <v>18000</v>
      </c>
      <c r="K22" s="372">
        <f>13500+0.4</f>
        <v>13500.4</v>
      </c>
      <c r="L22" s="290"/>
      <c r="M22" s="290"/>
      <c r="N22" s="290"/>
      <c r="O22" s="290"/>
      <c r="P22" s="48">
        <f t="shared" si="1"/>
        <v>33500.400000000001</v>
      </c>
      <c r="Q22" s="47"/>
      <c r="R22" s="48">
        <f t="shared" si="2"/>
        <v>33500.400000000001</v>
      </c>
      <c r="S22" s="49">
        <f t="shared" si="0"/>
        <v>0.55133120072182695</v>
      </c>
      <c r="T22" s="349">
        <f t="shared" si="3"/>
        <v>8.999999999650754E-2</v>
      </c>
    </row>
    <row r="23" spans="1:20" s="34" customFormat="1" ht="56.25" x14ac:dyDescent="0.3">
      <c r="A23" s="50" t="str">
        <f>'Quadro Geral'!A20</f>
        <v>Plenária</v>
      </c>
      <c r="B23" s="51" t="str">
        <f>'Quadro Geral'!B20</f>
        <v>A</v>
      </c>
      <c r="C23" s="52">
        <f>'Quadro Geral'!D20</f>
        <v>0</v>
      </c>
      <c r="D23" s="53" t="str">
        <f>'Quadro Geral'!E20</f>
        <v>Operacionalização das reuniões institucionais regimentais</v>
      </c>
      <c r="E23" s="41">
        <f>'Quadro Geral'!L20</f>
        <v>90000.37</v>
      </c>
      <c r="F23" s="118"/>
      <c r="G23" s="290"/>
      <c r="H23" s="290"/>
      <c r="I23" s="290"/>
      <c r="J23" s="290">
        <v>70000</v>
      </c>
      <c r="K23" s="372">
        <f>20000+0.4</f>
        <v>20000.400000000001</v>
      </c>
      <c r="L23" s="290"/>
      <c r="M23" s="290"/>
      <c r="N23" s="290"/>
      <c r="O23" s="290"/>
      <c r="P23" s="48">
        <f t="shared" si="1"/>
        <v>90000.4</v>
      </c>
      <c r="Q23" s="47"/>
      <c r="R23" s="48">
        <f t="shared" si="2"/>
        <v>90000.4</v>
      </c>
      <c r="S23" s="49">
        <f t="shared" si="0"/>
        <v>1.4811771978079278</v>
      </c>
      <c r="T23" s="349">
        <f t="shared" si="3"/>
        <v>-2.9999999998835847E-2</v>
      </c>
    </row>
    <row r="24" spans="1:20" s="34" customFormat="1" ht="23.25" customHeight="1" x14ac:dyDescent="0.3">
      <c r="A24" s="50" t="str">
        <f>'Quadro Geral'!A21</f>
        <v>Presidência</v>
      </c>
      <c r="B24" s="51" t="str">
        <f>'Quadro Geral'!B21</f>
        <v>P</v>
      </c>
      <c r="C24" s="52">
        <f>'Quadro Geral'!D21</f>
        <v>0</v>
      </c>
      <c r="D24" s="53" t="str">
        <f>'Quadro Geral'!E21</f>
        <v>Dia do Arquiteto</v>
      </c>
      <c r="E24" s="41">
        <f>'Quadro Geral'!L21</f>
        <v>100000</v>
      </c>
      <c r="F24" s="118"/>
      <c r="G24" s="290"/>
      <c r="H24" s="290"/>
      <c r="I24" s="290"/>
      <c r="J24" s="290"/>
      <c r="K24" s="290"/>
      <c r="L24" s="290">
        <v>100000</v>
      </c>
      <c r="M24" s="290"/>
      <c r="N24" s="290"/>
      <c r="O24" s="290"/>
      <c r="P24" s="48">
        <f t="shared" ref="P24:P40" si="4">SUM(G24:O24)</f>
        <v>100000</v>
      </c>
      <c r="Q24" s="47"/>
      <c r="R24" s="48">
        <f t="shared" si="2"/>
        <v>100000</v>
      </c>
      <c r="S24" s="49">
        <f t="shared" si="0"/>
        <v>1.6457451275860198</v>
      </c>
      <c r="T24" s="349">
        <f t="shared" si="3"/>
        <v>0</v>
      </c>
    </row>
    <row r="25" spans="1:20" s="34" customFormat="1" ht="37.5" x14ac:dyDescent="0.3">
      <c r="A25" s="50" t="str">
        <f>'Quadro Geral'!A22</f>
        <v>Direção Geral</v>
      </c>
      <c r="B25" s="51" t="str">
        <f>'Quadro Geral'!B22</f>
        <v>P</v>
      </c>
      <c r="C25" s="52">
        <f>'Quadro Geral'!D22</f>
        <v>0</v>
      </c>
      <c r="D25" s="53" t="str">
        <f>'Quadro Geral'!E22</f>
        <v>APC - Aperfeiçoamento Profissional Continuado</v>
      </c>
      <c r="E25" s="41">
        <f>'Quadro Geral'!L22</f>
        <v>150000</v>
      </c>
      <c r="F25" s="118"/>
      <c r="G25" s="290"/>
      <c r="H25" s="290"/>
      <c r="I25" s="290"/>
      <c r="J25" s="290"/>
      <c r="K25" s="290"/>
      <c r="L25" s="290">
        <v>150000</v>
      </c>
      <c r="M25" s="290"/>
      <c r="N25" s="290"/>
      <c r="O25" s="290"/>
      <c r="P25" s="48">
        <f t="shared" si="4"/>
        <v>150000</v>
      </c>
      <c r="Q25" s="47"/>
      <c r="R25" s="48">
        <f t="shared" si="2"/>
        <v>150000</v>
      </c>
      <c r="S25" s="49">
        <f t="shared" si="0"/>
        <v>2.4686176913790292</v>
      </c>
      <c r="T25" s="349">
        <f t="shared" si="3"/>
        <v>0</v>
      </c>
    </row>
    <row r="26" spans="1:20" s="34" customFormat="1" ht="23.25" customHeight="1" x14ac:dyDescent="0.3">
      <c r="A26" s="50" t="str">
        <f>'Quadro Geral'!A23</f>
        <v>Presidência</v>
      </c>
      <c r="B26" s="51" t="str">
        <f>'Quadro Geral'!B23</f>
        <v>P</v>
      </c>
      <c r="C26" s="52">
        <f>'Quadro Geral'!D23</f>
        <v>0</v>
      </c>
      <c r="D26" s="53" t="str">
        <f>'Quadro Geral'!E23</f>
        <v>Patrocínio</v>
      </c>
      <c r="E26" s="41">
        <f>'Quadro Geral'!L23</f>
        <v>50000</v>
      </c>
      <c r="F26" s="118"/>
      <c r="G26" s="290"/>
      <c r="H26" s="290"/>
      <c r="I26" s="290"/>
      <c r="J26" s="290"/>
      <c r="K26" s="290"/>
      <c r="L26" s="290"/>
      <c r="M26" s="290"/>
      <c r="N26" s="290"/>
      <c r="O26" s="290">
        <v>50000</v>
      </c>
      <c r="P26" s="48">
        <f t="shared" si="4"/>
        <v>50000</v>
      </c>
      <c r="Q26" s="47"/>
      <c r="R26" s="48">
        <f t="shared" si="2"/>
        <v>50000</v>
      </c>
      <c r="S26" s="49">
        <f t="shared" si="0"/>
        <v>0.82287256379300988</v>
      </c>
      <c r="T26" s="349">
        <f t="shared" si="3"/>
        <v>0</v>
      </c>
    </row>
    <row r="27" spans="1:20" s="34" customFormat="1" ht="37.5" x14ac:dyDescent="0.3">
      <c r="A27" s="50" t="str">
        <f>'Quadro Geral'!A24</f>
        <v>Gerência Adm. Financeira</v>
      </c>
      <c r="B27" s="51" t="str">
        <f>'Quadro Geral'!B24</f>
        <v>A</v>
      </c>
      <c r="C27" s="52">
        <f>'Quadro Geral'!D24</f>
        <v>0</v>
      </c>
      <c r="D27" s="53" t="str">
        <f>'Quadro Geral'!E24</f>
        <v>Aporte ao Fundo de Apoio</v>
      </c>
      <c r="E27" s="41">
        <f>'Quadro Geral'!L24</f>
        <v>52483.65</v>
      </c>
      <c r="F27" s="118"/>
      <c r="G27" s="290"/>
      <c r="H27" s="290"/>
      <c r="I27" s="290"/>
      <c r="J27" s="290"/>
      <c r="K27" s="290"/>
      <c r="L27" s="290"/>
      <c r="M27" s="290"/>
      <c r="N27" s="290"/>
      <c r="O27" s="290">
        <v>52484</v>
      </c>
      <c r="P27" s="48">
        <f t="shared" si="4"/>
        <v>52484</v>
      </c>
      <c r="Q27" s="47"/>
      <c r="R27" s="48">
        <f t="shared" si="2"/>
        <v>52484</v>
      </c>
      <c r="S27" s="49">
        <f t="shared" si="0"/>
        <v>0.86375287276224644</v>
      </c>
      <c r="T27" s="349">
        <f t="shared" si="3"/>
        <v>-0.34999999999854481</v>
      </c>
    </row>
    <row r="28" spans="1:20" s="34" customFormat="1" ht="23.25" customHeight="1" x14ac:dyDescent="0.3">
      <c r="A28" s="50" t="str">
        <f>'Quadro Geral'!A25</f>
        <v>Direção Geral</v>
      </c>
      <c r="B28" s="51" t="str">
        <f>'Quadro Geral'!B25</f>
        <v>P</v>
      </c>
      <c r="C28" s="52">
        <f>'Quadro Geral'!D25</f>
        <v>0</v>
      </c>
      <c r="D28" s="53" t="str">
        <f>'Quadro Geral'!E25</f>
        <v>Comunicação Institucional</v>
      </c>
      <c r="E28" s="41">
        <f>'Quadro Geral'!L25</f>
        <v>100500.44</v>
      </c>
      <c r="F28" s="118"/>
      <c r="G28" s="290"/>
      <c r="H28" s="290">
        <v>1000</v>
      </c>
      <c r="I28" s="290">
        <v>8000</v>
      </c>
      <c r="J28" s="290">
        <v>1500</v>
      </c>
      <c r="K28" s="372">
        <v>1000.06</v>
      </c>
      <c r="L28" s="290">
        <v>89000</v>
      </c>
      <c r="M28" s="290"/>
      <c r="N28" s="290"/>
      <c r="O28" s="290"/>
      <c r="P28" s="48">
        <f t="shared" si="4"/>
        <v>100500.06</v>
      </c>
      <c r="Q28" s="47"/>
      <c r="R28" s="48">
        <f t="shared" si="2"/>
        <v>100500.06</v>
      </c>
      <c r="S28" s="49">
        <f t="shared" si="0"/>
        <v>1.6539748406710262</v>
      </c>
      <c r="T28" s="349">
        <f t="shared" si="3"/>
        <v>0.38000000000465661</v>
      </c>
    </row>
    <row r="29" spans="1:20" s="34" customFormat="1" ht="37.5" x14ac:dyDescent="0.3">
      <c r="A29" s="50" t="str">
        <f>'Quadro Geral'!A26</f>
        <v>Direção Geral</v>
      </c>
      <c r="B29" s="51" t="str">
        <f>'Quadro Geral'!B26</f>
        <v>A</v>
      </c>
      <c r="C29" s="52">
        <f>'Quadro Geral'!D26</f>
        <v>0</v>
      </c>
      <c r="D29" s="53" t="str">
        <f>'Quadro Geral'!E26</f>
        <v>Programa de Capacitação dos Colaboradores</v>
      </c>
      <c r="E29" s="41">
        <f>'Quadro Geral'!L26</f>
        <v>31000</v>
      </c>
      <c r="F29" s="118"/>
      <c r="G29" s="290"/>
      <c r="H29" s="290">
        <v>6000</v>
      </c>
      <c r="I29" s="290"/>
      <c r="J29" s="290"/>
      <c r="K29" s="290">
        <v>2000</v>
      </c>
      <c r="L29" s="290">
        <v>23000</v>
      </c>
      <c r="M29" s="290"/>
      <c r="N29" s="290"/>
      <c r="O29" s="290"/>
      <c r="P29" s="48">
        <f t="shared" si="4"/>
        <v>31000</v>
      </c>
      <c r="Q29" s="47"/>
      <c r="R29" s="48">
        <f t="shared" si="2"/>
        <v>31000</v>
      </c>
      <c r="S29" s="49">
        <f t="shared" si="0"/>
        <v>0.51018098955166602</v>
      </c>
      <c r="T29" s="349">
        <f t="shared" si="3"/>
        <v>0</v>
      </c>
    </row>
    <row r="30" spans="1:20" s="34" customFormat="1" ht="56.25" x14ac:dyDescent="0.3">
      <c r="A30" s="50" t="str">
        <f>'Quadro Geral'!A27</f>
        <v>Comissão de Assistência Técnica</v>
      </c>
      <c r="B30" s="51" t="str">
        <f>'Quadro Geral'!B27</f>
        <v>P</v>
      </c>
      <c r="C30" s="52">
        <f>'Quadro Geral'!D27</f>
        <v>0</v>
      </c>
      <c r="D30" s="53" t="str">
        <f>'Quadro Geral'!E27</f>
        <v>Programa de Assistência Técnica</v>
      </c>
      <c r="E30" s="41">
        <f>'Quadro Geral'!L27</f>
        <v>60000</v>
      </c>
      <c r="F30" s="118"/>
      <c r="G30" s="290"/>
      <c r="H30" s="290"/>
      <c r="I30" s="290"/>
      <c r="J30" s="290"/>
      <c r="K30" s="290"/>
      <c r="L30" s="290">
        <v>60000</v>
      </c>
      <c r="M30" s="290"/>
      <c r="N30" s="290"/>
      <c r="O30" s="290"/>
      <c r="P30" s="48">
        <f t="shared" si="4"/>
        <v>60000</v>
      </c>
      <c r="Q30" s="47"/>
      <c r="R30" s="48">
        <f t="shared" si="2"/>
        <v>60000</v>
      </c>
      <c r="S30" s="49">
        <f t="shared" si="0"/>
        <v>0.98744707655161168</v>
      </c>
      <c r="T30" s="349">
        <f t="shared" si="3"/>
        <v>0</v>
      </c>
    </row>
    <row r="31" spans="1:20" s="34" customFormat="1" ht="56.25" x14ac:dyDescent="0.3">
      <c r="A31" s="50" t="str">
        <f>'Quadro Geral'!A28</f>
        <v>Gerência de Atendimento</v>
      </c>
      <c r="B31" s="51" t="str">
        <f>'Quadro Geral'!B28</f>
        <v>A</v>
      </c>
      <c r="C31" s="52">
        <f>'Quadro Geral'!D28</f>
        <v>0</v>
      </c>
      <c r="D31" s="53" t="str">
        <f>'Quadro Geral'!E28</f>
        <v>Atendimento da Sociedade e arquitetos e urbanistas</v>
      </c>
      <c r="E31" s="41">
        <f>'Quadro Geral'!L28</f>
        <v>297542.92</v>
      </c>
      <c r="F31" s="118"/>
      <c r="G31" s="290">
        <v>158030.99957236665</v>
      </c>
      <c r="H31" s="290">
        <v>0</v>
      </c>
      <c r="I31" s="290"/>
      <c r="J31" s="290"/>
      <c r="K31" s="290"/>
      <c r="L31" s="290">
        <v>139512</v>
      </c>
      <c r="M31" s="290"/>
      <c r="N31" s="290"/>
      <c r="O31" s="290"/>
      <c r="P31" s="48">
        <f t="shared" si="4"/>
        <v>297542.99957236665</v>
      </c>
      <c r="Q31" s="47"/>
      <c r="R31" s="48">
        <f t="shared" si="2"/>
        <v>297542.99957236665</v>
      </c>
      <c r="S31" s="49">
        <f t="shared" si="0"/>
        <v>4.8967994179355152</v>
      </c>
      <c r="T31" s="349">
        <f t="shared" si="3"/>
        <v>-7.9572366666980088E-2</v>
      </c>
    </row>
    <row r="32" spans="1:20" s="34" customFormat="1" ht="18.75" x14ac:dyDescent="0.3">
      <c r="A32" s="50" t="str">
        <f>'Quadro Geral'!A29</f>
        <v>Presidência</v>
      </c>
      <c r="B32" s="51" t="str">
        <f>'Quadro Geral'!B29</f>
        <v>P</v>
      </c>
      <c r="C32" s="52">
        <f>'Quadro Geral'!D29</f>
        <v>0</v>
      </c>
      <c r="D32" s="53" t="str">
        <f>'Quadro Geral'!E29</f>
        <v>Reforma sede CAU/BA</v>
      </c>
      <c r="E32" s="41">
        <f>'Quadro Geral'!L29</f>
        <v>200000</v>
      </c>
      <c r="F32" s="118"/>
      <c r="G32" s="290"/>
      <c r="H32" s="290"/>
      <c r="I32" s="290"/>
      <c r="J32" s="290"/>
      <c r="K32" s="290"/>
      <c r="L32" s="290"/>
      <c r="M32" s="290"/>
      <c r="N32" s="290"/>
      <c r="O32" s="290"/>
      <c r="P32" s="48">
        <f t="shared" si="4"/>
        <v>0</v>
      </c>
      <c r="Q32" s="47">
        <v>200000</v>
      </c>
      <c r="R32" s="48">
        <f t="shared" si="2"/>
        <v>200000</v>
      </c>
      <c r="S32" s="49">
        <f t="shared" si="0"/>
        <v>3.2914902551720395</v>
      </c>
      <c r="T32" s="349">
        <f t="shared" si="3"/>
        <v>0</v>
      </c>
    </row>
    <row r="33" spans="1:20" s="34" customFormat="1" ht="37.5" x14ac:dyDescent="0.3">
      <c r="A33" s="50" t="str">
        <f>'Quadro Geral'!A30</f>
        <v>Gerência Adm. Financeira</v>
      </c>
      <c r="B33" s="51" t="str">
        <f>'Quadro Geral'!B30</f>
        <v>P</v>
      </c>
      <c r="C33" s="52">
        <f>'Quadro Geral'!D30</f>
        <v>0</v>
      </c>
      <c r="D33" s="53" t="str">
        <f>'Quadro Geral'!E30</f>
        <v>Aquisição de Equipamentos</v>
      </c>
      <c r="E33" s="41">
        <f>'Quadro Geral'!L30</f>
        <v>60000</v>
      </c>
      <c r="F33" s="118"/>
      <c r="G33" s="290"/>
      <c r="H33" s="290"/>
      <c r="I33" s="290"/>
      <c r="J33" s="290"/>
      <c r="K33" s="290"/>
      <c r="L33" s="290"/>
      <c r="M33" s="290"/>
      <c r="N33" s="290"/>
      <c r="O33" s="290"/>
      <c r="P33" s="48">
        <f t="shared" si="4"/>
        <v>0</v>
      </c>
      <c r="Q33" s="47">
        <v>60000</v>
      </c>
      <c r="R33" s="48">
        <f t="shared" si="2"/>
        <v>60000</v>
      </c>
      <c r="S33" s="49">
        <f t="shared" si="0"/>
        <v>0.98744707655161168</v>
      </c>
      <c r="T33" s="349">
        <f t="shared" si="3"/>
        <v>0</v>
      </c>
    </row>
    <row r="34" spans="1:20" s="34" customFormat="1" ht="37.5" x14ac:dyDescent="0.3">
      <c r="A34" s="50" t="str">
        <f>'Quadro Geral'!A31</f>
        <v>Gerência Adm. Financeira</v>
      </c>
      <c r="B34" s="51" t="str">
        <f>'Quadro Geral'!B31</f>
        <v>A</v>
      </c>
      <c r="C34" s="52">
        <f>'Quadro Geral'!D31</f>
        <v>0</v>
      </c>
      <c r="D34" s="53" t="str">
        <f>'Quadro Geral'!E31</f>
        <v>CSC -Fiscalização</v>
      </c>
      <c r="E34" s="41">
        <f>'Quadro Geral'!L31</f>
        <v>177697.05</v>
      </c>
      <c r="F34" s="118"/>
      <c r="G34" s="290"/>
      <c r="H34" s="290"/>
      <c r="I34" s="290"/>
      <c r="J34" s="290"/>
      <c r="K34" s="290"/>
      <c r="L34" s="290"/>
      <c r="M34" s="290"/>
      <c r="N34" s="290"/>
      <c r="O34" s="290">
        <v>177697</v>
      </c>
      <c r="P34" s="48">
        <f t="shared" si="4"/>
        <v>177697</v>
      </c>
      <c r="Q34" s="47"/>
      <c r="R34" s="48">
        <f t="shared" si="2"/>
        <v>177697</v>
      </c>
      <c r="S34" s="49">
        <f t="shared" si="0"/>
        <v>2.924439719366529</v>
      </c>
      <c r="T34" s="349">
        <f t="shared" si="3"/>
        <v>4.9999999988358468E-2</v>
      </c>
    </row>
    <row r="35" spans="1:20" s="34" customFormat="1" ht="37.5" x14ac:dyDescent="0.3">
      <c r="A35" s="50" t="str">
        <f>'Quadro Geral'!A32</f>
        <v>Gerência Adm. Financeira</v>
      </c>
      <c r="B35" s="51" t="str">
        <f>'Quadro Geral'!B32</f>
        <v>A</v>
      </c>
      <c r="C35" s="52">
        <f>'Quadro Geral'!D32</f>
        <v>0</v>
      </c>
      <c r="D35" s="53" t="str">
        <f>'Quadro Geral'!E32</f>
        <v>CSC- Atendimento</v>
      </c>
      <c r="E35" s="41">
        <f>'Quadro Geral'!L32</f>
        <v>32843.949999999997</v>
      </c>
      <c r="F35" s="118"/>
      <c r="G35" s="290"/>
      <c r="H35" s="290"/>
      <c r="I35" s="290"/>
      <c r="J35" s="290"/>
      <c r="K35" s="290"/>
      <c r="L35" s="290"/>
      <c r="M35" s="290"/>
      <c r="N35" s="290"/>
      <c r="O35" s="290">
        <v>32844</v>
      </c>
      <c r="P35" s="48">
        <f t="shared" si="4"/>
        <v>32844</v>
      </c>
      <c r="Q35" s="47"/>
      <c r="R35" s="48">
        <f t="shared" si="2"/>
        <v>32844</v>
      </c>
      <c r="S35" s="49">
        <f t="shared" si="0"/>
        <v>0.54052852970435228</v>
      </c>
      <c r="T35" s="349">
        <f t="shared" si="3"/>
        <v>-5.0000000002910383E-2</v>
      </c>
    </row>
    <row r="36" spans="1:20" s="34" customFormat="1" ht="37.5" x14ac:dyDescent="0.3">
      <c r="A36" s="50" t="str">
        <f>'Quadro Geral'!A33</f>
        <v>Gerência de Fiscalização</v>
      </c>
      <c r="B36" s="51" t="str">
        <f>'Quadro Geral'!B33</f>
        <v>A</v>
      </c>
      <c r="C36" s="52">
        <f>'Quadro Geral'!D33</f>
        <v>0</v>
      </c>
      <c r="D36" s="53" t="str">
        <f>'Quadro Geral'!E33</f>
        <v>Plano de Fiscalização</v>
      </c>
      <c r="E36" s="41">
        <f>'Quadro Geral'!L33</f>
        <v>295909.01</v>
      </c>
      <c r="F36" s="118"/>
      <c r="G36" s="291">
        <f>'[2]Resumo Orçamento Folha'!F6+1000</f>
        <v>273909.03494825668</v>
      </c>
      <c r="H36" s="291">
        <f>13000</f>
        <v>13000</v>
      </c>
      <c r="I36" s="291"/>
      <c r="J36" s="291">
        <v>2000</v>
      </c>
      <c r="K36" s="291">
        <f>5000+2000</f>
        <v>7000</v>
      </c>
      <c r="L36" s="291"/>
      <c r="M36" s="291"/>
      <c r="N36" s="291"/>
      <c r="O36" s="291"/>
      <c r="P36" s="48">
        <f t="shared" si="4"/>
        <v>295909.03494825668</v>
      </c>
      <c r="Q36" s="47"/>
      <c r="R36" s="48">
        <f t="shared" si="2"/>
        <v>295909.03494825668</v>
      </c>
      <c r="S36" s="49">
        <f t="shared" si="0"/>
        <v>4.8699085247477463</v>
      </c>
      <c r="T36" s="349">
        <f t="shared" si="3"/>
        <v>-2.4948256672360003E-2</v>
      </c>
    </row>
    <row r="37" spans="1:20" s="34" customFormat="1" ht="18.75" x14ac:dyDescent="0.3">
      <c r="A37" s="50" t="s">
        <v>379</v>
      </c>
      <c r="B37" s="51" t="s">
        <v>383</v>
      </c>
      <c r="C37" s="52"/>
      <c r="D37" s="53" t="s">
        <v>762</v>
      </c>
      <c r="E37" s="41">
        <f>'Quadro Geral'!L34</f>
        <v>59999.18</v>
      </c>
      <c r="F37" s="118"/>
      <c r="G37" s="291"/>
      <c r="H37" s="291"/>
      <c r="I37" s="291"/>
      <c r="J37" s="291"/>
      <c r="K37" s="291"/>
      <c r="L37" s="291"/>
      <c r="M37" s="291"/>
      <c r="N37" s="373">
        <f>60000-0.82</f>
        <v>59999.18</v>
      </c>
      <c r="O37" s="291"/>
      <c r="P37" s="48">
        <f t="shared" si="4"/>
        <v>59999.18</v>
      </c>
      <c r="Q37" s="47"/>
      <c r="R37" s="48">
        <f t="shared" ref="R37" si="5">P37+Q37</f>
        <v>59999.18</v>
      </c>
      <c r="S37" s="49">
        <f t="shared" si="0"/>
        <v>0.98743358144156557</v>
      </c>
      <c r="T37" s="349"/>
    </row>
    <row r="38" spans="1:20" s="34" customFormat="1" ht="23.25" customHeight="1" x14ac:dyDescent="0.3">
      <c r="A38" s="50" t="str">
        <f>'Quadro Geral'!A35</f>
        <v>Presidência</v>
      </c>
      <c r="B38" s="51" t="str">
        <f>'Quadro Geral'!B35</f>
        <v>P</v>
      </c>
      <c r="C38" s="52">
        <f>'Quadro Geral'!D35</f>
        <v>0</v>
      </c>
      <c r="D38" s="53" t="str">
        <f>'Quadro Geral'!E35</f>
        <v>Aquisição sede CAU/BA</v>
      </c>
      <c r="E38" s="41">
        <f>'Quadro Geral'!L35</f>
        <v>2300000</v>
      </c>
      <c r="F38" s="118"/>
      <c r="G38" s="290"/>
      <c r="H38" s="290"/>
      <c r="I38" s="290"/>
      <c r="J38" s="290"/>
      <c r="K38" s="290"/>
      <c r="L38" s="290"/>
      <c r="M38" s="290"/>
      <c r="N38" s="290"/>
      <c r="O38" s="290"/>
      <c r="P38" s="48">
        <f t="shared" si="4"/>
        <v>0</v>
      </c>
      <c r="Q38" s="47">
        <v>2300000</v>
      </c>
      <c r="R38" s="48">
        <f t="shared" si="2"/>
        <v>2300000</v>
      </c>
      <c r="S38" s="49">
        <f t="shared" si="0"/>
        <v>37.852137934478449</v>
      </c>
      <c r="T38" s="349">
        <f t="shared" si="3"/>
        <v>0</v>
      </c>
    </row>
    <row r="39" spans="1:20" s="34" customFormat="1" ht="23.25" customHeight="1" x14ac:dyDescent="0.3">
      <c r="A39" s="50" t="str">
        <f>'Quadro Geral'!A36</f>
        <v>Presidência</v>
      </c>
      <c r="B39" s="51" t="str">
        <f>'Quadro Geral'!B36</f>
        <v>P</v>
      </c>
      <c r="C39" s="52">
        <f>'Quadro Geral'!D36</f>
        <v>0</v>
      </c>
      <c r="D39" s="53" t="str">
        <f>'Quadro Geral'!E36</f>
        <v>CAU/BA Mais Perto</v>
      </c>
      <c r="E39" s="41">
        <f>'Quadro Geral'!L36</f>
        <v>60000</v>
      </c>
      <c r="F39" s="118"/>
      <c r="G39" s="290"/>
      <c r="H39" s="290">
        <v>5000</v>
      </c>
      <c r="I39" s="290"/>
      <c r="J39" s="290">
        <v>5000</v>
      </c>
      <c r="K39" s="290">
        <v>5000</v>
      </c>
      <c r="L39" s="290">
        <v>45000</v>
      </c>
      <c r="M39" s="290"/>
      <c r="N39" s="290"/>
      <c r="O39" s="290"/>
      <c r="P39" s="48">
        <f t="shared" si="4"/>
        <v>60000</v>
      </c>
      <c r="Q39" s="47"/>
      <c r="R39" s="48">
        <f t="shared" si="2"/>
        <v>60000</v>
      </c>
      <c r="S39" s="49">
        <f t="shared" si="0"/>
        <v>0.98744707655161168</v>
      </c>
      <c r="T39" s="349">
        <f t="shared" si="3"/>
        <v>0</v>
      </c>
    </row>
    <row r="40" spans="1:20" s="34" customFormat="1" ht="23.25" customHeight="1" x14ac:dyDescent="0.3">
      <c r="A40" s="50" t="str">
        <f>'Quadro Geral'!A37</f>
        <v>Presidência</v>
      </c>
      <c r="B40" s="51" t="str">
        <f>'Quadro Geral'!B37</f>
        <v>P</v>
      </c>
      <c r="C40" s="52">
        <f>'Quadro Geral'!D37</f>
        <v>0</v>
      </c>
      <c r="D40" s="53" t="str">
        <f>'Quadro Geral'!E37</f>
        <v>Concurso Público</v>
      </c>
      <c r="E40" s="41">
        <f>'Quadro Geral'!L37</f>
        <v>13000</v>
      </c>
      <c r="F40" s="118"/>
      <c r="G40" s="290"/>
      <c r="H40" s="290"/>
      <c r="I40" s="290"/>
      <c r="J40" s="290"/>
      <c r="K40" s="290"/>
      <c r="L40" s="290">
        <v>13000</v>
      </c>
      <c r="M40" s="290"/>
      <c r="N40" s="290"/>
      <c r="O40" s="290"/>
      <c r="P40" s="48">
        <f t="shared" si="4"/>
        <v>13000</v>
      </c>
      <c r="Q40" s="47"/>
      <c r="R40" s="48">
        <f t="shared" si="2"/>
        <v>13000</v>
      </c>
      <c r="S40" s="49">
        <f t="shared" si="0"/>
        <v>0.21394686658618256</v>
      </c>
      <c r="T40" s="349">
        <f t="shared" si="3"/>
        <v>0</v>
      </c>
    </row>
    <row r="41" spans="1:20" s="43" customFormat="1" ht="18.75" x14ac:dyDescent="0.3">
      <c r="A41" s="542" t="s">
        <v>106</v>
      </c>
      <c r="B41" s="542"/>
      <c r="C41" s="542"/>
      <c r="D41" s="542"/>
      <c r="E41" s="369">
        <f>SUM(E12:E40)</f>
        <v>6076275.0199999996</v>
      </c>
      <c r="F41" s="119"/>
      <c r="G41" s="348">
        <f>SUM(G12:G40)</f>
        <v>1434328.1951161064</v>
      </c>
      <c r="H41" s="348">
        <f t="shared" ref="H41:R41" si="6">SUM(H12:H40)</f>
        <v>54000</v>
      </c>
      <c r="I41" s="348">
        <f t="shared" si="6"/>
        <v>35500</v>
      </c>
      <c r="J41" s="348">
        <f t="shared" si="6"/>
        <v>255500</v>
      </c>
      <c r="K41" s="348">
        <f t="shared" si="6"/>
        <v>141901.85999999999</v>
      </c>
      <c r="L41" s="348">
        <f t="shared" si="6"/>
        <v>1086246</v>
      </c>
      <c r="M41" s="348">
        <f t="shared" si="6"/>
        <v>120678</v>
      </c>
      <c r="N41" s="348">
        <f t="shared" si="6"/>
        <v>75095.960000000006</v>
      </c>
      <c r="O41" s="348">
        <f t="shared" si="6"/>
        <v>313025</v>
      </c>
      <c r="P41" s="348">
        <f t="shared" si="6"/>
        <v>3516275.0151161067</v>
      </c>
      <c r="Q41" s="348">
        <f t="shared" si="6"/>
        <v>2560000</v>
      </c>
      <c r="R41" s="368">
        <f t="shared" si="6"/>
        <v>6076275.0151161067</v>
      </c>
      <c r="S41" s="543">
        <f t="shared" ref="S41" si="7">SUM(S12:S40)</f>
        <v>100.00000000000001</v>
      </c>
      <c r="T41" s="349">
        <f t="shared" si="3"/>
        <v>4.883892834186554E-3</v>
      </c>
    </row>
    <row r="42" spans="1:20" s="43" customFormat="1" ht="18.75" x14ac:dyDescent="0.3">
      <c r="A42" s="542" t="s">
        <v>100</v>
      </c>
      <c r="B42" s="542"/>
      <c r="C42" s="542"/>
      <c r="D42" s="542"/>
      <c r="E42" s="542"/>
      <c r="F42" s="120"/>
      <c r="G42" s="44">
        <f>IFERROR(G41/$R41*100,0)</f>
        <v>23.605386384715818</v>
      </c>
      <c r="H42" s="44">
        <f t="shared" ref="H42:O42" si="8">IFERROR(H41/$R41*100,0)</f>
        <v>0.8887023688964506</v>
      </c>
      <c r="I42" s="44">
        <f t="shared" si="8"/>
        <v>0.58423952029303694</v>
      </c>
      <c r="J42" s="44">
        <f t="shared" si="8"/>
        <v>4.2048788009822795</v>
      </c>
      <c r="K42" s="44">
        <f t="shared" si="8"/>
        <v>2.3353429469039346</v>
      </c>
      <c r="L42" s="44">
        <f t="shared" si="8"/>
        <v>17.876840618598035</v>
      </c>
      <c r="M42" s="44">
        <f t="shared" si="8"/>
        <v>1.9860523050682568</v>
      </c>
      <c r="N42" s="44">
        <f t="shared" si="8"/>
        <v>1.2358881027139463</v>
      </c>
      <c r="O42" s="44">
        <f t="shared" si="8"/>
        <v>5.1515936856261382</v>
      </c>
      <c r="P42" s="44">
        <f>IFERROR(P41/$R41*100,0)</f>
        <v>57.868924733797897</v>
      </c>
      <c r="Q42" s="44">
        <f>IFERROR(Q41/$R41*100,0)</f>
        <v>42.131075266202103</v>
      </c>
      <c r="R42" s="44">
        <f>IFERROR(R41/$R41*100,0)</f>
        <v>100</v>
      </c>
      <c r="S42" s="543"/>
      <c r="T42" s="42"/>
    </row>
    <row r="43" spans="1:20" s="45" customFormat="1" x14ac:dyDescent="0.25">
      <c r="A43" s="536" t="s">
        <v>116</v>
      </c>
      <c r="B43" s="536"/>
      <c r="C43" s="536"/>
      <c r="D43" s="536"/>
      <c r="E43" s="536"/>
      <c r="F43" s="536"/>
      <c r="G43" s="536"/>
      <c r="H43" s="536"/>
      <c r="I43" s="536"/>
      <c r="J43" s="536"/>
      <c r="K43" s="536"/>
      <c r="L43" s="536"/>
      <c r="M43" s="536"/>
      <c r="N43" s="536"/>
      <c r="O43" s="536"/>
      <c r="P43" s="536"/>
      <c r="Q43" s="536"/>
      <c r="R43" s="536"/>
      <c r="S43" s="536"/>
    </row>
    <row r="44" spans="1:20" s="45" customFormat="1" x14ac:dyDescent="0.25">
      <c r="B44" s="532"/>
      <c r="C44" s="532"/>
      <c r="D44" s="532"/>
      <c r="E44" s="532"/>
      <c r="F44" s="532"/>
      <c r="G44" s="532"/>
      <c r="H44" s="532"/>
      <c r="I44" s="532"/>
      <c r="J44" s="532"/>
      <c r="K44" s="532"/>
      <c r="L44" s="532"/>
      <c r="M44" s="532"/>
      <c r="N44" s="532"/>
      <c r="O44" s="532"/>
      <c r="P44" s="532"/>
      <c r="Q44" s="532"/>
      <c r="R44" s="532"/>
      <c r="S44" s="532"/>
    </row>
    <row r="45" spans="1:20" s="45" customFormat="1" x14ac:dyDescent="0.25">
      <c r="B45" s="28"/>
      <c r="C45" s="28"/>
      <c r="D45"/>
      <c r="E45" s="333">
        <f>'Quadro Geral'!L38</f>
        <v>6076275.0199999996</v>
      </c>
      <c r="F45"/>
      <c r="G45"/>
      <c r="H45"/>
      <c r="I45"/>
      <c r="J45"/>
      <c r="K45"/>
      <c r="L45"/>
      <c r="M45"/>
      <c r="N45"/>
      <c r="O45"/>
      <c r="P45"/>
      <c r="Q45"/>
      <c r="R45" s="333">
        <f>'Quadro Geral'!L38</f>
        <v>6076275.0199999996</v>
      </c>
      <c r="S45"/>
    </row>
    <row r="46" spans="1:20" s="45" customFormat="1" x14ac:dyDescent="0.25">
      <c r="B46" s="28"/>
      <c r="C46" s="28"/>
      <c r="D46"/>
      <c r="E46"/>
      <c r="F46"/>
      <c r="G46"/>
      <c r="H46"/>
      <c r="I46"/>
      <c r="J46"/>
      <c r="K46"/>
      <c r="L46"/>
      <c r="M46"/>
      <c r="N46"/>
      <c r="O46"/>
      <c r="P46"/>
      <c r="Q46"/>
      <c r="R46"/>
      <c r="S46"/>
    </row>
    <row r="47" spans="1:20" s="45" customFormat="1" x14ac:dyDescent="0.25">
      <c r="B47" s="28"/>
      <c r="C47" s="28"/>
      <c r="D47"/>
      <c r="E47"/>
      <c r="F47"/>
      <c r="G47"/>
      <c r="H47"/>
      <c r="I47"/>
      <c r="J47"/>
      <c r="K47"/>
      <c r="L47"/>
      <c r="M47"/>
      <c r="N47"/>
      <c r="O47"/>
      <c r="P47"/>
      <c r="Q47"/>
      <c r="R47"/>
      <c r="S47"/>
    </row>
    <row r="48" spans="1:20" s="45" customFormat="1" x14ac:dyDescent="0.25">
      <c r="B48" s="28"/>
      <c r="C48" s="28"/>
      <c r="D48"/>
      <c r="E48"/>
      <c r="F48"/>
      <c r="G48"/>
      <c r="H48"/>
      <c r="I48"/>
      <c r="J48"/>
      <c r="K48"/>
      <c r="L48"/>
      <c r="M48"/>
      <c r="N48"/>
      <c r="O48"/>
      <c r="P48"/>
      <c r="Q48"/>
      <c r="R48"/>
      <c r="S48"/>
    </row>
    <row r="49" spans="2:19" s="45" customFormat="1" x14ac:dyDescent="0.25">
      <c r="B49" s="28"/>
      <c r="C49" s="28"/>
      <c r="D49"/>
      <c r="E49"/>
      <c r="F49"/>
      <c r="G49"/>
      <c r="H49"/>
      <c r="I49"/>
      <c r="J49"/>
      <c r="K49"/>
      <c r="L49"/>
      <c r="M49"/>
      <c r="N49"/>
      <c r="O49"/>
      <c r="P49"/>
      <c r="Q49"/>
      <c r="R49"/>
      <c r="S49"/>
    </row>
    <row r="50" spans="2:19" s="45" customFormat="1" x14ac:dyDescent="0.25">
      <c r="B50" s="28"/>
      <c r="C50" s="28"/>
      <c r="D50"/>
      <c r="E50"/>
      <c r="F50"/>
      <c r="G50"/>
      <c r="H50"/>
      <c r="I50"/>
      <c r="J50"/>
      <c r="K50"/>
      <c r="L50"/>
      <c r="M50"/>
      <c r="N50"/>
      <c r="O50"/>
      <c r="P50"/>
      <c r="Q50"/>
      <c r="R50"/>
      <c r="S50"/>
    </row>
    <row r="51" spans="2:19" s="45" customFormat="1" x14ac:dyDescent="0.25">
      <c r="B51" s="28"/>
      <c r="C51" s="28"/>
      <c r="D51"/>
      <c r="E51"/>
      <c r="F51"/>
      <c r="G51"/>
      <c r="H51"/>
      <c r="I51"/>
      <c r="J51"/>
      <c r="K51"/>
      <c r="L51"/>
      <c r="M51"/>
      <c r="N51"/>
      <c r="O51"/>
      <c r="P51"/>
      <c r="Q51"/>
      <c r="R51"/>
      <c r="S51"/>
    </row>
    <row r="52" spans="2:19" s="45" customFormat="1" x14ac:dyDescent="0.25">
      <c r="B52" s="28"/>
      <c r="C52" s="28"/>
      <c r="D52"/>
      <c r="E52"/>
      <c r="F52"/>
      <c r="G52"/>
      <c r="H52"/>
      <c r="I52"/>
      <c r="J52"/>
      <c r="K52"/>
      <c r="L52"/>
      <c r="M52"/>
      <c r="N52"/>
      <c r="O52"/>
      <c r="P52"/>
      <c r="Q52"/>
      <c r="R52"/>
      <c r="S52"/>
    </row>
    <row r="53" spans="2:19" s="45" customFormat="1" x14ac:dyDescent="0.25">
      <c r="B53" s="28"/>
      <c r="C53" s="28"/>
      <c r="D53"/>
      <c r="E53"/>
      <c r="F53"/>
      <c r="G53"/>
      <c r="H53"/>
      <c r="I53"/>
      <c r="J53"/>
      <c r="K53"/>
      <c r="L53"/>
      <c r="M53"/>
      <c r="N53"/>
      <c r="O53"/>
      <c r="P53"/>
      <c r="Q53"/>
      <c r="R53"/>
      <c r="S53"/>
    </row>
    <row r="54" spans="2:19" s="46" customFormat="1" x14ac:dyDescent="0.25">
      <c r="B54" s="28"/>
      <c r="C54" s="28"/>
      <c r="D54"/>
      <c r="E54"/>
      <c r="F54"/>
      <c r="G54"/>
      <c r="H54"/>
      <c r="I54"/>
      <c r="J54"/>
      <c r="K54"/>
      <c r="L54"/>
      <c r="M54"/>
      <c r="N54"/>
      <c r="O54"/>
      <c r="P54"/>
      <c r="Q54"/>
      <c r="R54"/>
      <c r="S54"/>
    </row>
  </sheetData>
  <mergeCells count="21">
    <mergeCell ref="S10:S11"/>
    <mergeCell ref="A41:D41"/>
    <mergeCell ref="S41:S42"/>
    <mergeCell ref="A42:E42"/>
    <mergeCell ref="T11:AA11"/>
    <mergeCell ref="A6:S6"/>
    <mergeCell ref="B44:S44"/>
    <mergeCell ref="I10:I11"/>
    <mergeCell ref="J10:N10"/>
    <mergeCell ref="O10:O11"/>
    <mergeCell ref="P10:P11"/>
    <mergeCell ref="A43:S43"/>
    <mergeCell ref="Q10:Q11"/>
    <mergeCell ref="R10:R11"/>
    <mergeCell ref="A10:A11"/>
    <mergeCell ref="B10:B11"/>
    <mergeCell ref="C10:C11"/>
    <mergeCell ref="D10:D11"/>
    <mergeCell ref="E10:E11"/>
    <mergeCell ref="G10:H10"/>
    <mergeCell ref="A7:S7"/>
  </mergeCells>
  <pageMargins left="0.51181102362204722" right="0.51181102362204722" top="0.78740157480314965" bottom="0.78740157480314965"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35</vt:i4>
      </vt:variant>
      <vt:variant>
        <vt:lpstr>Intervalos nomeados</vt:lpstr>
      </vt:variant>
      <vt:variant>
        <vt:i4>7</vt:i4>
      </vt:variant>
    </vt:vector>
  </HeadingPairs>
  <TitlesOfParts>
    <vt:vector size="42" baseType="lpstr">
      <vt:lpstr>Mapa Estratégico</vt:lpstr>
      <vt:lpstr>Matriz Objetivos x Projetos</vt:lpstr>
      <vt:lpstr>Indicadores e Metas1</vt:lpstr>
      <vt:lpstr>Indicadores e Metas</vt:lpstr>
      <vt:lpstr>Quadro Geral</vt:lpstr>
      <vt:lpstr>Sheet</vt:lpstr>
      <vt:lpstr>Anexo_1.1_Limites Estratégicos</vt:lpstr>
      <vt:lpstr>Anexo_1.2_Usos e Fontes</vt:lpstr>
      <vt:lpstr>Anexo_1.3_ Elemento de Despesas</vt:lpstr>
      <vt:lpstr>Anexo_1.4_Dados</vt:lpstr>
      <vt:lpstr>2019</vt:lpstr>
      <vt:lpstr>Anexo 1.4-Presidência</vt:lpstr>
      <vt:lpstr>Anexo 1.4-Direção Geral</vt:lpstr>
      <vt:lpstr>Anexo 1.4-GETEC</vt:lpstr>
      <vt:lpstr>Anexo 1.4-GEOP</vt:lpstr>
      <vt:lpstr>Anexo 1.4-Gerência Financeira</vt:lpstr>
      <vt:lpstr>Anexo 1.4-ASSEJUR</vt:lpstr>
      <vt:lpstr>Anexo 1.4-Com. Ética</vt:lpstr>
      <vt:lpstr>Anexo 1.4-Com Atos</vt:lpstr>
      <vt:lpstr>Anexo 1.4-Com Exercicio</vt:lpstr>
      <vt:lpstr>Anexo 1.4-Com. Planejamento</vt:lpstr>
      <vt:lpstr>Anexo 1.4-Com. Ensino</vt:lpstr>
      <vt:lpstr>Anexo 1.4-Plenária</vt:lpstr>
      <vt:lpstr>Anexo 1.4-APC</vt:lpstr>
      <vt:lpstr>Anexo 1.4-Comunicação</vt:lpstr>
      <vt:lpstr>Anexo 1.4-GEAT</vt:lpstr>
      <vt:lpstr>Anexo 1.4-GEFIS</vt:lpstr>
      <vt:lpstr>Anexo 1.4-CAUBA Mais Perto</vt:lpstr>
      <vt:lpstr>Anexo 1.4-Aporte Fundo de Apoio</vt:lpstr>
      <vt:lpstr>Anexo 1.4-Aquisição Sede</vt:lpstr>
      <vt:lpstr>Anexo 1.4-Reforma Sede CAUBA</vt:lpstr>
      <vt:lpstr>Anexo 1.4-Reserva de Contingênc</vt:lpstr>
      <vt:lpstr>Anexo 1.4-CSC- Fiscalização</vt:lpstr>
      <vt:lpstr>Anexo 1.4-CSC- Atendimento</vt:lpstr>
      <vt:lpstr>Plan1</vt:lpstr>
      <vt:lpstr>'Anexo_1.2_Usos e Fontes'!Area_de_impressao</vt:lpstr>
      <vt:lpstr>Anexo_1.4_Dados!Area_de_impressao</vt:lpstr>
      <vt:lpstr>'Indicadores e Metas'!Area_de_impressao</vt:lpstr>
      <vt:lpstr>'Indicadores e Metas1'!Area_de_impressao</vt:lpstr>
      <vt:lpstr>'Mapa Estratégico'!Area_de_impressao</vt:lpstr>
      <vt:lpstr>'Matriz Objetivos x Projetos'!Area_de_impressao</vt:lpstr>
      <vt:lpstr>'Quadro Geral'!Area_de_impressao</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 Rios Costa</dc:creator>
  <cp:lastModifiedBy>Ralfe Vinhas</cp:lastModifiedBy>
  <cp:lastPrinted>2019-08-28T12:53:54Z</cp:lastPrinted>
  <dcterms:created xsi:type="dcterms:W3CDTF">2013-07-30T15:20:59Z</dcterms:created>
  <dcterms:modified xsi:type="dcterms:W3CDTF">2023-05-04T16:53:22Z</dcterms:modified>
</cp:coreProperties>
</file>