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ralfe.vinhas\Desktop\Financeiro\Programação 2023\"/>
    </mc:Choice>
  </mc:AlternateContent>
  <bookViews>
    <workbookView xWindow="0" yWindow="0" windowWidth="28800" windowHeight="12435" tabRatio="884" firstSheet="2" activeTab="4"/>
  </bookViews>
  <sheets>
    <sheet name="Orientações Iniciais" sheetId="35" r:id="rId1"/>
    <sheet name="Mapa Estratégico e ODS" sheetId="36" r:id="rId2"/>
    <sheet name="Indicadores e Metas" sheetId="39" r:id="rId3"/>
    <sheet name="Quadro Geral" sheetId="15" r:id="rId4"/>
    <sheet name="Anexo 1. Fontes e Aplicações" sheetId="8" r:id="rId5"/>
    <sheet name="Anexo 2. Limites Estratégicos" sheetId="23" r:id="rId6"/>
    <sheet name="Anexo 3. Elemento de Despesas" sheetId="18" r:id="rId7"/>
    <sheet name="Validação de dados" sheetId="31" state="hidden" r:id="rId8"/>
  </sheets>
  <externalReferences>
    <externalReference r:id="rId9"/>
    <externalReference r:id="rId10"/>
    <externalReference r:id="rId11"/>
  </externalReferences>
  <definedNames>
    <definedName name="__xlfn_IFERROR">#N/A</definedName>
    <definedName name="_xlnm._FilterDatabase" localSheetId="2" hidden="1">'Indicadores e Metas'!$A$29:$S$101</definedName>
    <definedName name="_xlnm._FilterDatabase" localSheetId="3" hidden="1">'Quadro Geral'!$A$6:$K$84</definedName>
    <definedName name="A" localSheetId="2">#REF!</definedName>
    <definedName name="A" localSheetId="0">#REF!</definedName>
    <definedName name="A" localSheetId="3">#REF!</definedName>
    <definedName name="A">#REF!</definedName>
    <definedName name="Anexo" localSheetId="2">#REF!</definedName>
    <definedName name="Anexo">#REF!</definedName>
    <definedName name="Anexo_1.4.4" localSheetId="2">#REF!</definedName>
    <definedName name="Anexo_1.4.4">#REF!</definedName>
    <definedName name="ar">#N/A</definedName>
    <definedName name="_xlnm.Print_Area" localSheetId="4">'Anexo 1. Fontes e Aplicações'!$A$1:$F$35</definedName>
    <definedName name="_xlnm.Print_Area" localSheetId="6">'Anexo 3. Elemento de Despesas'!$A$1:$R$85</definedName>
    <definedName name="_xlnm.Print_Area" localSheetId="2">'Indicadores e Metas'!$A$1:$K$127</definedName>
    <definedName name="_xlnm.Print_Area" localSheetId="1">'Mapa Estratégico e ODS'!$A$1:$I$3</definedName>
    <definedName name="_xlnm.Print_Area" localSheetId="3">'Quadro Geral'!$A$1:$K$86</definedName>
    <definedName name="asas" localSheetId="2">#REF!</definedName>
    <definedName name="asas">#REF!</definedName>
    <definedName name="ass" localSheetId="2">#REF!</definedName>
    <definedName name="ass">#REF!</definedName>
    <definedName name="_xlnm.Database" localSheetId="2">#REF!</definedName>
    <definedName name="_xlnm.Database" localSheetId="0">#REF!</definedName>
    <definedName name="_xlnm.Database" localSheetId="3">#REF!</definedName>
    <definedName name="_xlnm.Database">#REF!</definedName>
    <definedName name="banco_de_dados_sym" localSheetId="2">#REF!</definedName>
    <definedName name="banco_de_dados_sym">#REF!</definedName>
    <definedName name="Copia" localSheetId="2">#REF!</definedName>
    <definedName name="Copia">#REF!</definedName>
    <definedName name="copia2" localSheetId="2">#REF!</definedName>
    <definedName name="copia2">#REF!</definedName>
    <definedName name="_xlnm.Criteria" localSheetId="2">#REF!</definedName>
    <definedName name="_xlnm.Criteria">#REF!</definedName>
    <definedName name="dados" localSheetId="2">#REF!</definedName>
    <definedName name="dados">#REF!</definedName>
    <definedName name="Database">#REF!</definedName>
    <definedName name="DEZEMBRO">#REF!</definedName>
    <definedName name="huala" localSheetId="2">#REF!</definedName>
    <definedName name="huala">#REF!</definedName>
    <definedName name="kk" localSheetId="2">#REF!</definedName>
    <definedName name="kk">#REF!</definedName>
    <definedName name="Percentual5">'[1]Estudos - Receita'!$XFB$1:$XFB$20</definedName>
    <definedName name="PJ2anos">'[1]Estudos - Quant. PJ'!$K:$O,'[1]Estudos - Quant. PJ'!$J$2</definedName>
    <definedName name="PREs">#N/A</definedName>
    <definedName name="Presid">#N/A</definedName>
    <definedName name="X">#REF!</definedName>
    <definedName name="XFE1048575" localSheetId="2">#REF!</definedName>
    <definedName name="XFE1048575">#REF!</definedName>
    <definedName name="XFe1048576" localSheetId="2">#REF!</definedName>
    <definedName name="XFe1048576">#REF!</definedName>
  </definedNames>
  <calcPr calcId="152511"/>
</workbook>
</file>

<file path=xl/calcChain.xml><?xml version="1.0" encoding="utf-8"?>
<calcChain xmlns="http://schemas.openxmlformats.org/spreadsheetml/2006/main">
  <c r="K11" i="18" l="1"/>
  <c r="I12" i="15"/>
  <c r="K36" i="15" l="1"/>
  <c r="K37" i="15"/>
  <c r="K38" i="15"/>
  <c r="K39" i="15"/>
  <c r="K40" i="15"/>
  <c r="K41" i="15"/>
  <c r="K42" i="15"/>
  <c r="F19" i="8"/>
  <c r="F31" i="8"/>
  <c r="F32" i="8"/>
  <c r="F33" i="8"/>
  <c r="K9" i="15"/>
  <c r="K10" i="15"/>
  <c r="K11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8" i="15"/>
  <c r="K29" i="15"/>
  <c r="K30" i="15"/>
  <c r="K31" i="15"/>
  <c r="K32" i="15"/>
  <c r="K33" i="15"/>
  <c r="K34" i="15"/>
  <c r="K35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J38" i="15"/>
  <c r="I10" i="23"/>
  <c r="E13" i="23" l="1"/>
  <c r="D23" i="8" l="1"/>
  <c r="H25" i="23" l="1"/>
  <c r="H23" i="23"/>
  <c r="H19" i="23"/>
  <c r="R15" i="23"/>
  <c r="R7" i="23"/>
  <c r="Q15" i="23"/>
  <c r="Q7" i="23"/>
  <c r="Q6" i="23"/>
  <c r="G23" i="23"/>
  <c r="G21" i="23"/>
  <c r="G19" i="23"/>
  <c r="G17" i="23"/>
  <c r="G15" i="23"/>
  <c r="G13" i="23"/>
  <c r="E33" i="8"/>
  <c r="I26" i="15"/>
  <c r="K33" i="18"/>
  <c r="K37" i="18"/>
  <c r="J37" i="15"/>
  <c r="J25" i="15"/>
  <c r="E31" i="8"/>
  <c r="J40" i="15"/>
  <c r="D19" i="8"/>
  <c r="I29" i="8"/>
  <c r="I28" i="8"/>
  <c r="I33" i="8"/>
  <c r="H33" i="8"/>
  <c r="H32" i="8"/>
  <c r="H31" i="8"/>
  <c r="H24" i="8"/>
  <c r="H21" i="8"/>
  <c r="H20" i="8"/>
  <c r="H19" i="8"/>
  <c r="H18" i="8"/>
  <c r="H17" i="8"/>
  <c r="H16" i="8"/>
  <c r="H15" i="8"/>
  <c r="H13" i="8"/>
  <c r="H12" i="8"/>
  <c r="S7" i="23" l="1"/>
  <c r="J33" i="8"/>
  <c r="E32" i="8"/>
  <c r="H98" i="39" l="1"/>
  <c r="H99" i="39"/>
  <c r="H102" i="39"/>
  <c r="H104" i="39"/>
  <c r="H95" i="39"/>
  <c r="H92" i="39"/>
  <c r="H90" i="39"/>
  <c r="H88" i="39"/>
  <c r="H85" i="39"/>
  <c r="H83" i="39"/>
  <c r="H81" i="39"/>
  <c r="H79" i="39"/>
  <c r="H77" i="39"/>
  <c r="H74" i="39"/>
  <c r="H72" i="39"/>
  <c r="H70" i="39"/>
  <c r="H67" i="39"/>
  <c r="H65" i="39"/>
  <c r="H63" i="39"/>
  <c r="H61" i="39"/>
  <c r="H59" i="39"/>
  <c r="H57" i="39"/>
  <c r="H56" i="39"/>
  <c r="H53" i="39"/>
  <c r="H51" i="39"/>
  <c r="H49" i="39"/>
  <c r="H46" i="39"/>
  <c r="H44" i="39"/>
  <c r="H42" i="39"/>
  <c r="H40" i="39"/>
  <c r="H37" i="39"/>
  <c r="H35" i="39"/>
  <c r="H33" i="39"/>
  <c r="H30" i="39"/>
  <c r="H28" i="39"/>
  <c r="H26" i="39"/>
  <c r="H24" i="39"/>
  <c r="H22" i="39"/>
  <c r="H20" i="39"/>
  <c r="H7" i="39"/>
  <c r="H12" i="39"/>
  <c r="H14" i="39"/>
  <c r="H16" i="39"/>
  <c r="H18" i="39"/>
  <c r="R40" i="15" l="1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Q38" i="15"/>
  <c r="Q37" i="15"/>
  <c r="Q36" i="15"/>
  <c r="Q40" i="15"/>
  <c r="Q39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P28" i="15"/>
  <c r="P27" i="15"/>
  <c r="P26" i="15"/>
  <c r="P25" i="15"/>
  <c r="P24" i="15"/>
  <c r="P23" i="15"/>
  <c r="P22" i="15"/>
  <c r="P21" i="15"/>
  <c r="P20" i="15"/>
  <c r="P19" i="15"/>
  <c r="P18" i="15"/>
  <c r="Q22" i="15"/>
  <c r="Q21" i="15"/>
  <c r="Q20" i="15"/>
  <c r="Q19" i="15"/>
  <c r="Q18" i="15"/>
  <c r="Q17" i="15"/>
  <c r="Q16" i="15"/>
  <c r="Q15" i="15"/>
  <c r="Q14" i="15"/>
  <c r="Q13" i="15"/>
  <c r="P17" i="15"/>
  <c r="P16" i="15"/>
  <c r="P15" i="15"/>
  <c r="P14" i="15"/>
  <c r="P13" i="15"/>
  <c r="P12" i="15"/>
  <c r="P11" i="15"/>
  <c r="Q12" i="15"/>
  <c r="Q11" i="15"/>
  <c r="Q10" i="15"/>
  <c r="P10" i="15"/>
  <c r="P8" i="15"/>
  <c r="O39" i="15"/>
  <c r="O40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Q9" i="15"/>
  <c r="Q8" i="15"/>
  <c r="P9" i="15"/>
  <c r="O9" i="15"/>
  <c r="O8" i="15"/>
  <c r="M40" i="15"/>
  <c r="M39" i="15"/>
  <c r="N39" i="15"/>
  <c r="N38" i="15"/>
  <c r="N37" i="15"/>
  <c r="N36" i="15"/>
  <c r="N35" i="15"/>
  <c r="N34" i="15"/>
  <c r="M38" i="15"/>
  <c r="M37" i="15"/>
  <c r="M36" i="15"/>
  <c r="M35" i="15"/>
  <c r="M34" i="15"/>
  <c r="L39" i="15"/>
  <c r="L38" i="15"/>
  <c r="L37" i="15"/>
  <c r="L36" i="15"/>
  <c r="L35" i="15"/>
  <c r="L34" i="15"/>
  <c r="N40" i="15"/>
  <c r="L40" i="15"/>
  <c r="N33" i="15"/>
  <c r="N32" i="15"/>
  <c r="N31" i="15"/>
  <c r="N30" i="15"/>
  <c r="N29" i="15"/>
  <c r="N28" i="15"/>
  <c r="N27" i="15"/>
  <c r="N26" i="15"/>
  <c r="N25" i="15"/>
  <c r="M33" i="15"/>
  <c r="M32" i="15"/>
  <c r="M31" i="15"/>
  <c r="M30" i="15"/>
  <c r="M29" i="15"/>
  <c r="M28" i="15"/>
  <c r="M27" i="15"/>
  <c r="M26" i="15"/>
  <c r="M25" i="15"/>
  <c r="L33" i="15"/>
  <c r="L32" i="15"/>
  <c r="L31" i="15"/>
  <c r="L30" i="15"/>
  <c r="L29" i="15"/>
  <c r="L28" i="15"/>
  <c r="L27" i="15"/>
  <c r="L26" i="15"/>
  <c r="L25" i="15"/>
  <c r="L16" i="15"/>
  <c r="L17" i="15"/>
  <c r="L18" i="15"/>
  <c r="L19" i="15"/>
  <c r="L20" i="15"/>
  <c r="L21" i="15"/>
  <c r="L22" i="15"/>
  <c r="L23" i="15"/>
  <c r="L24" i="15"/>
  <c r="M24" i="15"/>
  <c r="M23" i="15"/>
  <c r="M22" i="15"/>
  <c r="M21" i="15"/>
  <c r="M20" i="15"/>
  <c r="M19" i="15"/>
  <c r="M18" i="15"/>
  <c r="M17" i="15"/>
  <c r="M16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M15" i="15"/>
  <c r="M14" i="15"/>
  <c r="M13" i="15"/>
  <c r="M12" i="15"/>
  <c r="M11" i="15"/>
  <c r="M10" i="15"/>
  <c r="M9" i="15"/>
  <c r="M8" i="15"/>
  <c r="L15" i="15"/>
  <c r="L14" i="15"/>
  <c r="L13" i="15"/>
  <c r="L12" i="15"/>
  <c r="L11" i="15"/>
  <c r="L10" i="15"/>
  <c r="L9" i="15"/>
  <c r="L8" i="15"/>
  <c r="I20" i="8" l="1"/>
  <c r="J20" i="8" s="1"/>
  <c r="K8" i="18" l="1"/>
  <c r="K28" i="18" l="1"/>
  <c r="K27" i="18"/>
  <c r="E21" i="23" l="1"/>
  <c r="E25" i="23"/>
  <c r="I25" i="23" s="1"/>
  <c r="E23" i="23"/>
  <c r="I23" i="23" s="1"/>
  <c r="E19" i="23"/>
  <c r="I19" i="23" s="1"/>
  <c r="E17" i="23"/>
  <c r="E15" i="23"/>
  <c r="C23" i="8" l="1"/>
  <c r="H23" i="8" s="1"/>
  <c r="C40" i="18"/>
  <c r="B40" i="18"/>
  <c r="A40" i="18"/>
  <c r="K7" i="18"/>
  <c r="K81" i="18" s="1"/>
  <c r="O8" i="18" l="1"/>
  <c r="Q8" i="18" s="1"/>
  <c r="O9" i="18"/>
  <c r="Q9" i="18" s="1"/>
  <c r="O10" i="18"/>
  <c r="Q10" i="18" s="1"/>
  <c r="O11" i="18"/>
  <c r="Q11" i="18" s="1"/>
  <c r="O12" i="18"/>
  <c r="Q12" i="18" s="1"/>
  <c r="O13" i="18"/>
  <c r="Q13" i="18" s="1"/>
  <c r="O14" i="18"/>
  <c r="Q14" i="18" s="1"/>
  <c r="O15" i="18"/>
  <c r="Q15" i="18" s="1"/>
  <c r="O16" i="18"/>
  <c r="Q16" i="18" s="1"/>
  <c r="O17" i="18"/>
  <c r="Q17" i="18" s="1"/>
  <c r="O18" i="18"/>
  <c r="Q18" i="18" s="1"/>
  <c r="O19" i="18"/>
  <c r="Q19" i="18" s="1"/>
  <c r="O20" i="18"/>
  <c r="Q20" i="18" s="1"/>
  <c r="O21" i="18"/>
  <c r="Q21" i="18" s="1"/>
  <c r="O22" i="18"/>
  <c r="Q22" i="18" s="1"/>
  <c r="O23" i="18"/>
  <c r="Q23" i="18" s="1"/>
  <c r="O24" i="18"/>
  <c r="Q24" i="18" s="1"/>
  <c r="O25" i="18"/>
  <c r="Q25" i="18" s="1"/>
  <c r="O26" i="18"/>
  <c r="Q26" i="18" s="1"/>
  <c r="O27" i="18"/>
  <c r="Q27" i="18" s="1"/>
  <c r="O28" i="18"/>
  <c r="Q28" i="18" s="1"/>
  <c r="O29" i="18"/>
  <c r="Q29" i="18" s="1"/>
  <c r="O30" i="18"/>
  <c r="Q30" i="18" s="1"/>
  <c r="O31" i="18"/>
  <c r="Q31" i="18" s="1"/>
  <c r="O32" i="18"/>
  <c r="Q32" i="18" s="1"/>
  <c r="O33" i="18"/>
  <c r="Q33" i="18" s="1"/>
  <c r="O34" i="18"/>
  <c r="Q34" i="18" s="1"/>
  <c r="O35" i="18"/>
  <c r="Q35" i="18" s="1"/>
  <c r="O36" i="18"/>
  <c r="Q36" i="18" s="1"/>
  <c r="O37" i="18"/>
  <c r="Q37" i="18" s="1"/>
  <c r="O38" i="18"/>
  <c r="Q38" i="18" s="1"/>
  <c r="O39" i="18"/>
  <c r="Q39" i="18" s="1"/>
  <c r="O40" i="18"/>
  <c r="Q40" i="18" s="1"/>
  <c r="O41" i="18"/>
  <c r="Q41" i="18" s="1"/>
  <c r="O42" i="18"/>
  <c r="Q42" i="18" s="1"/>
  <c r="O43" i="18"/>
  <c r="Q43" i="18" s="1"/>
  <c r="O44" i="18"/>
  <c r="Q44" i="18" s="1"/>
  <c r="O45" i="18"/>
  <c r="Q45" i="18" s="1"/>
  <c r="O46" i="18"/>
  <c r="Q46" i="18" s="1"/>
  <c r="O47" i="18"/>
  <c r="Q47" i="18" s="1"/>
  <c r="O48" i="18"/>
  <c r="Q48" i="18" s="1"/>
  <c r="O49" i="18"/>
  <c r="Q49" i="18" s="1"/>
  <c r="O50" i="18"/>
  <c r="Q50" i="18" s="1"/>
  <c r="O51" i="18"/>
  <c r="Q51" i="18" s="1"/>
  <c r="O52" i="18"/>
  <c r="Q52" i="18" s="1"/>
  <c r="O53" i="18"/>
  <c r="Q53" i="18" s="1"/>
  <c r="O54" i="18"/>
  <c r="Q54" i="18" s="1"/>
  <c r="O55" i="18"/>
  <c r="Q55" i="18" s="1"/>
  <c r="O56" i="18"/>
  <c r="Q56" i="18" s="1"/>
  <c r="O57" i="18"/>
  <c r="Q57" i="18" s="1"/>
  <c r="O58" i="18"/>
  <c r="Q58" i="18" s="1"/>
  <c r="O59" i="18"/>
  <c r="Q59" i="18" s="1"/>
  <c r="O60" i="18"/>
  <c r="Q60" i="18" s="1"/>
  <c r="O61" i="18"/>
  <c r="Q61" i="18" s="1"/>
  <c r="O62" i="18"/>
  <c r="Q62" i="18" s="1"/>
  <c r="O63" i="18"/>
  <c r="Q63" i="18" s="1"/>
  <c r="O64" i="18"/>
  <c r="Q64" i="18" s="1"/>
  <c r="O65" i="18"/>
  <c r="Q65" i="18" s="1"/>
  <c r="O66" i="18"/>
  <c r="Q66" i="18" s="1"/>
  <c r="O67" i="18"/>
  <c r="Q67" i="18" s="1"/>
  <c r="O68" i="18"/>
  <c r="Q68" i="18" s="1"/>
  <c r="O69" i="18"/>
  <c r="Q69" i="18" s="1"/>
  <c r="O70" i="18"/>
  <c r="Q70" i="18" s="1"/>
  <c r="O71" i="18"/>
  <c r="Q71" i="18" s="1"/>
  <c r="O72" i="18"/>
  <c r="Q72" i="18" s="1"/>
  <c r="O73" i="18"/>
  <c r="Q73" i="18" s="1"/>
  <c r="O74" i="18"/>
  <c r="Q74" i="18" s="1"/>
  <c r="O75" i="18"/>
  <c r="Q75" i="18" s="1"/>
  <c r="O76" i="18"/>
  <c r="Q76" i="18" s="1"/>
  <c r="O77" i="18"/>
  <c r="Q77" i="18" s="1"/>
  <c r="O78" i="18"/>
  <c r="Q78" i="18" s="1"/>
  <c r="O79" i="18"/>
  <c r="Q79" i="18" s="1"/>
  <c r="O80" i="18"/>
  <c r="Q80" i="18" s="1"/>
  <c r="O7" i="18"/>
  <c r="Q7" i="18" s="1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I82" i="15"/>
  <c r="H82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6" i="15"/>
  <c r="J27" i="15"/>
  <c r="K27" i="15" s="1"/>
  <c r="J28" i="15"/>
  <c r="J29" i="15"/>
  <c r="J30" i="15"/>
  <c r="J31" i="15"/>
  <c r="J32" i="15"/>
  <c r="J33" i="15"/>
  <c r="J34" i="15"/>
  <c r="J35" i="15"/>
  <c r="J36" i="15"/>
  <c r="J39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" i="15"/>
  <c r="K8" i="15" s="1"/>
  <c r="K12" i="15" l="1"/>
  <c r="J82" i="15"/>
  <c r="K82" i="15" s="1"/>
  <c r="Q81" i="18"/>
  <c r="B7" i="18"/>
  <c r="B5" i="18"/>
  <c r="A2" i="23"/>
  <c r="A2" i="8"/>
  <c r="A2" i="18"/>
  <c r="C28" i="8"/>
  <c r="D30" i="8"/>
  <c r="E30" i="8" s="1"/>
  <c r="F30" i="8" s="1"/>
  <c r="D29" i="8"/>
  <c r="C30" i="8"/>
  <c r="H30" i="8" s="1"/>
  <c r="C29" i="8"/>
  <c r="H29" i="8" s="1"/>
  <c r="D28" i="8"/>
  <c r="E12" i="8"/>
  <c r="F12" i="8" s="1"/>
  <c r="E13" i="8"/>
  <c r="F13" i="8" s="1"/>
  <c r="E15" i="8"/>
  <c r="F15" i="8" s="1"/>
  <c r="E16" i="8"/>
  <c r="F16" i="8" s="1"/>
  <c r="E17" i="8"/>
  <c r="F17" i="8" s="1"/>
  <c r="E18" i="8"/>
  <c r="F18" i="8" s="1"/>
  <c r="E19" i="8"/>
  <c r="E20" i="8"/>
  <c r="F20" i="8" s="1"/>
  <c r="E21" i="8"/>
  <c r="F21" i="8" s="1"/>
  <c r="E23" i="8"/>
  <c r="F23" i="8" s="1"/>
  <c r="E24" i="8"/>
  <c r="F24" i="8" s="1"/>
  <c r="D14" i="8"/>
  <c r="D11" i="8"/>
  <c r="H28" i="8" l="1"/>
  <c r="C27" i="8"/>
  <c r="J29" i="8"/>
  <c r="E29" i="8"/>
  <c r="F29" i="8" s="1"/>
  <c r="J28" i="8"/>
  <c r="E28" i="8"/>
  <c r="F28" i="8" s="1"/>
  <c r="D27" i="8"/>
  <c r="R48" i="18"/>
  <c r="R62" i="18"/>
  <c r="R65" i="18"/>
  <c r="Q83" i="18"/>
  <c r="R42" i="18"/>
  <c r="R58" i="18"/>
  <c r="R74" i="18"/>
  <c r="R68" i="18"/>
  <c r="R51" i="18"/>
  <c r="R67" i="18"/>
  <c r="R52" i="18"/>
  <c r="R45" i="18"/>
  <c r="R61" i="18"/>
  <c r="R77" i="18"/>
  <c r="R55" i="18"/>
  <c r="R8" i="18"/>
  <c r="R12" i="18"/>
  <c r="R16" i="18"/>
  <c r="R20" i="18"/>
  <c r="R24" i="18"/>
  <c r="R28" i="18"/>
  <c r="R32" i="18"/>
  <c r="R36" i="18"/>
  <c r="R40" i="18"/>
  <c r="R9" i="18"/>
  <c r="R13" i="18"/>
  <c r="R17" i="18"/>
  <c r="R21" i="18"/>
  <c r="R25" i="18"/>
  <c r="R29" i="18"/>
  <c r="R33" i="18"/>
  <c r="R37" i="18"/>
  <c r="R10" i="18"/>
  <c r="R14" i="18"/>
  <c r="R18" i="18"/>
  <c r="R22" i="18"/>
  <c r="R26" i="18"/>
  <c r="R30" i="18"/>
  <c r="R34" i="18"/>
  <c r="R38" i="18"/>
  <c r="R11" i="18"/>
  <c r="R15" i="18"/>
  <c r="R19" i="18"/>
  <c r="R23" i="18"/>
  <c r="R27" i="18"/>
  <c r="R31" i="18"/>
  <c r="R35" i="18"/>
  <c r="R39" i="18"/>
  <c r="R78" i="18"/>
  <c r="R49" i="18"/>
  <c r="R50" i="18"/>
  <c r="R66" i="18"/>
  <c r="R44" i="18"/>
  <c r="R43" i="18"/>
  <c r="R59" i="18"/>
  <c r="R75" i="18"/>
  <c r="R76" i="18"/>
  <c r="R53" i="18"/>
  <c r="R69" i="18"/>
  <c r="R60" i="18"/>
  <c r="Q82" i="18"/>
  <c r="R46" i="18"/>
  <c r="R80" i="18"/>
  <c r="R71" i="18"/>
  <c r="R64" i="18"/>
  <c r="R7" i="18"/>
  <c r="R54" i="18"/>
  <c r="R70" i="18"/>
  <c r="R56" i="18"/>
  <c r="R47" i="18"/>
  <c r="R63" i="18"/>
  <c r="R79" i="18"/>
  <c r="R41" i="18"/>
  <c r="R57" i="18"/>
  <c r="R73" i="18"/>
  <c r="R72" i="18"/>
  <c r="B53" i="8"/>
  <c r="D10" i="8"/>
  <c r="D9" i="8" s="1"/>
  <c r="D25" i="23" l="1"/>
  <c r="G25" i="23" s="1"/>
  <c r="H13" i="23"/>
  <c r="I13" i="23" s="1"/>
  <c r="H15" i="23"/>
  <c r="I15" i="23" s="1"/>
  <c r="H17" i="23"/>
  <c r="I17" i="23" s="1"/>
  <c r="H21" i="23"/>
  <c r="I21" i="23" s="1"/>
  <c r="H9" i="23"/>
  <c r="H7" i="23"/>
  <c r="D8" i="8" l="1"/>
  <c r="R8" i="23" s="1"/>
  <c r="B50" i="8"/>
  <c r="S33" i="15"/>
  <c r="T33" i="15" s="1"/>
  <c r="O15" i="23"/>
  <c r="S32" i="15" l="1"/>
  <c r="T32" i="15" s="1"/>
  <c r="I32" i="8"/>
  <c r="J32" i="8" s="1"/>
  <c r="S25" i="15"/>
  <c r="T25" i="15" s="1"/>
  <c r="I31" i="8"/>
  <c r="C50" i="8"/>
  <c r="B54" i="8"/>
  <c r="S15" i="23"/>
  <c r="J31" i="8" l="1"/>
  <c r="I30" i="8"/>
  <c r="I85" i="39"/>
  <c r="J85" i="39" s="1"/>
  <c r="I70" i="39"/>
  <c r="J70" i="39" s="1"/>
  <c r="I83" i="39"/>
  <c r="J83" i="39" s="1"/>
  <c r="J30" i="8" l="1"/>
  <c r="I16" i="39"/>
  <c r="J16" i="39" s="1"/>
  <c r="I15" i="8" l="1"/>
  <c r="I23" i="8" l="1"/>
  <c r="J23" i="8" s="1"/>
  <c r="K15" i="8"/>
  <c r="J15" i="8"/>
  <c r="I12" i="8"/>
  <c r="I17" i="8"/>
  <c r="I18" i="8"/>
  <c r="I13" i="8"/>
  <c r="K13" i="8" l="1"/>
  <c r="J13" i="8"/>
  <c r="K17" i="8"/>
  <c r="J17" i="8"/>
  <c r="J18" i="8"/>
  <c r="K18" i="8"/>
  <c r="I11" i="8"/>
  <c r="J12" i="8"/>
  <c r="K12" i="8"/>
  <c r="I16" i="8"/>
  <c r="J16" i="8" l="1"/>
  <c r="K16" i="8"/>
  <c r="I14" i="8"/>
  <c r="H83" i="18"/>
  <c r="G81" i="18"/>
  <c r="H81" i="18"/>
  <c r="I81" i="18"/>
  <c r="J81" i="18"/>
  <c r="L81" i="18"/>
  <c r="M81" i="18"/>
  <c r="N81" i="18"/>
  <c r="P81" i="18"/>
  <c r="P83" i="18" s="1"/>
  <c r="F81" i="18"/>
  <c r="P7" i="23"/>
  <c r="P15" i="23"/>
  <c r="N16" i="23"/>
  <c r="Q16" i="23" s="1"/>
  <c r="N13" i="23"/>
  <c r="Q13" i="23" s="1"/>
  <c r="R13" i="23" l="1"/>
  <c r="R14" i="23" s="1"/>
  <c r="R16" i="23"/>
  <c r="J11" i="8"/>
  <c r="K11" i="8"/>
  <c r="I10" i="8"/>
  <c r="I9" i="8" l="1"/>
  <c r="A2" i="15"/>
  <c r="D7" i="18" l="1"/>
  <c r="C7" i="18"/>
  <c r="A7" i="18"/>
  <c r="E9" i="23"/>
  <c r="I9" i="23" s="1"/>
  <c r="D9" i="23"/>
  <c r="G9" i="23" s="1"/>
  <c r="E7" i="23"/>
  <c r="I7" i="23" s="1"/>
  <c r="D7" i="23"/>
  <c r="G7" i="23" s="1"/>
  <c r="D22" i="8"/>
  <c r="D81" i="18" l="1"/>
  <c r="C41" i="8"/>
  <c r="K10" i="8"/>
  <c r="J14" i="8"/>
  <c r="K14" i="8"/>
  <c r="F41" i="8"/>
  <c r="G41" i="8" s="1"/>
  <c r="D34" i="8" l="1"/>
  <c r="J9" i="8"/>
  <c r="J10" i="8"/>
  <c r="C22" i="8"/>
  <c r="C14" i="8"/>
  <c r="G34" i="8" l="1"/>
  <c r="E14" i="8"/>
  <c r="F14" i="8" s="1"/>
  <c r="H14" i="8"/>
  <c r="E22" i="8"/>
  <c r="F22" i="8" s="1"/>
  <c r="H22" i="8"/>
  <c r="G30" i="8"/>
  <c r="G28" i="8"/>
  <c r="G29" i="8"/>
  <c r="G31" i="8"/>
  <c r="G33" i="8"/>
  <c r="G32" i="8"/>
  <c r="K9" i="8"/>
  <c r="E6" i="23"/>
  <c r="H6" i="23"/>
  <c r="O6" i="23"/>
  <c r="R6" i="23" l="1"/>
  <c r="O16" i="23"/>
  <c r="H8" i="23"/>
  <c r="I6" i="23"/>
  <c r="I77" i="39"/>
  <c r="J77" i="39" s="1"/>
  <c r="O8" i="23"/>
  <c r="S8" i="23" s="1"/>
  <c r="F83" i="18"/>
  <c r="P6" i="23"/>
  <c r="O13" i="23"/>
  <c r="S13" i="23" s="1"/>
  <c r="C40" i="8"/>
  <c r="B45" i="8"/>
  <c r="H10" i="23" l="1"/>
  <c r="P16" i="23"/>
  <c r="S16" i="23"/>
  <c r="I79" i="39"/>
  <c r="J79" i="39" s="1"/>
  <c r="O9" i="23"/>
  <c r="P13" i="23"/>
  <c r="O14" i="23"/>
  <c r="S14" i="23" s="1"/>
  <c r="F25" i="23"/>
  <c r="F23" i="23"/>
  <c r="F21" i="23"/>
  <c r="F19" i="23"/>
  <c r="F17" i="23"/>
  <c r="F15" i="23"/>
  <c r="F13" i="23"/>
  <c r="C46" i="8"/>
  <c r="B51" i="8" s="1"/>
  <c r="H18" i="23" l="1"/>
  <c r="H16" i="23"/>
  <c r="H24" i="23"/>
  <c r="H20" i="23"/>
  <c r="H22" i="23"/>
  <c r="H26" i="23"/>
  <c r="H14" i="23"/>
  <c r="I14" i="23" s="1"/>
  <c r="B52" i="8"/>
  <c r="B55" i="8"/>
  <c r="F9" i="23"/>
  <c r="F7" i="23"/>
  <c r="H27" i="8" l="1"/>
  <c r="B41" i="8"/>
  <c r="D41" i="8" s="1"/>
  <c r="C11" i="8"/>
  <c r="E11" i="8" l="1"/>
  <c r="F11" i="8" s="1"/>
  <c r="H11" i="8"/>
  <c r="C34" i="8"/>
  <c r="E34" i="8" s="1"/>
  <c r="O81" i="18"/>
  <c r="F40" i="8" s="1"/>
  <c r="G40" i="8" s="1"/>
  <c r="C45" i="8"/>
  <c r="C10" i="8"/>
  <c r="J83" i="15" l="1"/>
  <c r="F34" i="8"/>
  <c r="F35" i="8" s="1"/>
  <c r="H34" i="8"/>
  <c r="E43" i="8"/>
  <c r="E10" i="8"/>
  <c r="F10" i="8" s="1"/>
  <c r="H10" i="8"/>
  <c r="C36" i="8"/>
  <c r="F42" i="8"/>
  <c r="H83" i="15"/>
  <c r="C47" i="8"/>
  <c r="D45" i="8"/>
  <c r="B46" i="8"/>
  <c r="C9" i="8"/>
  <c r="H9" i="8" s="1"/>
  <c r="G42" i="8" l="1"/>
  <c r="F43" i="8"/>
  <c r="O83" i="18"/>
  <c r="R81" i="18"/>
  <c r="D6" i="23"/>
  <c r="E9" i="8"/>
  <c r="F9" i="8" s="1"/>
  <c r="F82" i="18"/>
  <c r="H82" i="18"/>
  <c r="O82" i="18"/>
  <c r="I82" i="18"/>
  <c r="N82" i="18"/>
  <c r="J82" i="18"/>
  <c r="M82" i="18"/>
  <c r="L82" i="18"/>
  <c r="P82" i="18"/>
  <c r="G82" i="18"/>
  <c r="K82" i="18"/>
  <c r="D46" i="8"/>
  <c r="B47" i="8"/>
  <c r="C8" i="8"/>
  <c r="E8" i="23"/>
  <c r="I8" i="23" s="1"/>
  <c r="D36" i="8"/>
  <c r="D25" i="8"/>
  <c r="E45" i="8" l="1"/>
  <c r="D35" i="8"/>
  <c r="D8" i="23"/>
  <c r="F8" i="23" s="1"/>
  <c r="G6" i="23"/>
  <c r="D47" i="8"/>
  <c r="E46" i="8"/>
  <c r="E8" i="8"/>
  <c r="F8" i="8" s="1"/>
  <c r="H8" i="8"/>
  <c r="G8" i="8"/>
  <c r="G13" i="8"/>
  <c r="G17" i="8"/>
  <c r="G21" i="8"/>
  <c r="G25" i="8"/>
  <c r="G14" i="8"/>
  <c r="G18" i="8"/>
  <c r="G22" i="8"/>
  <c r="G15" i="8"/>
  <c r="G19" i="8"/>
  <c r="G23" i="8"/>
  <c r="G12" i="8"/>
  <c r="G16" i="8"/>
  <c r="G20" i="8"/>
  <c r="G24" i="8"/>
  <c r="G11" i="8"/>
  <c r="G10" i="8"/>
  <c r="G9" i="8"/>
  <c r="D83" i="18"/>
  <c r="N8" i="23"/>
  <c r="B40" i="8"/>
  <c r="D40" i="8" s="1"/>
  <c r="I83" i="15"/>
  <c r="C25" i="8"/>
  <c r="H25" i="8" s="1"/>
  <c r="E10" i="23"/>
  <c r="F6" i="23"/>
  <c r="E27" i="8"/>
  <c r="F27" i="8" s="1"/>
  <c r="G27" i="8"/>
  <c r="C42" i="8"/>
  <c r="C43" i="8" s="1"/>
  <c r="N9" i="23" l="1"/>
  <c r="Q8" i="23"/>
  <c r="D10" i="23"/>
  <c r="G8" i="23"/>
  <c r="C35" i="8"/>
  <c r="E25" i="8"/>
  <c r="F25" i="8" s="1"/>
  <c r="N14" i="23"/>
  <c r="P8" i="23"/>
  <c r="B42" i="8"/>
  <c r="E22" i="23"/>
  <c r="I22" i="23" s="1"/>
  <c r="E18" i="23"/>
  <c r="I18" i="23" s="1"/>
  <c r="E24" i="23"/>
  <c r="I24" i="23" s="1"/>
  <c r="E14" i="23"/>
  <c r="E26" i="23"/>
  <c r="I26" i="23" s="1"/>
  <c r="E16" i="23"/>
  <c r="I16" i="23" s="1"/>
  <c r="E20" i="23"/>
  <c r="I20" i="23" s="1"/>
  <c r="D42" i="8" l="1"/>
  <c r="B43" i="8"/>
  <c r="P14" i="23"/>
  <c r="Q14" i="23"/>
  <c r="G10" i="23"/>
  <c r="D16" i="23"/>
  <c r="G16" i="23" s="1"/>
  <c r="D26" i="23"/>
  <c r="G26" i="23" s="1"/>
  <c r="D18" i="23"/>
  <c r="G18" i="23" s="1"/>
  <c r="D22" i="23"/>
  <c r="G22" i="23" s="1"/>
  <c r="D20" i="23"/>
  <c r="G20" i="23" s="1"/>
  <c r="D14" i="23"/>
  <c r="G14" i="23" s="1"/>
  <c r="D24" i="23"/>
  <c r="G24" i="23" s="1"/>
  <c r="F10" i="23"/>
  <c r="E35" i="8"/>
  <c r="E36" i="8"/>
  <c r="F24" i="23" l="1"/>
  <c r="F18" i="23"/>
  <c r="F22" i="23"/>
  <c r="F26" i="23"/>
  <c r="F16" i="23"/>
  <c r="F14" i="23"/>
  <c r="F20" i="23"/>
  <c r="F36" i="8"/>
  <c r="K83" i="15"/>
</calcChain>
</file>

<file path=xl/comments1.xml><?xml version="1.0" encoding="utf-8"?>
<comments xmlns="http://schemas.openxmlformats.org/spreadsheetml/2006/main">
  <authors>
    <author>Gustavo Milhomem Brito Menezes</author>
  </authors>
  <commentList>
    <comment ref="A6" authorId="0" shapeId="0">
      <text>
        <r>
          <rPr>
            <b/>
            <sz val="14"/>
            <color indexed="81"/>
            <rFont val="Calibri"/>
            <family val="2"/>
            <scheme val="minor"/>
          </rPr>
          <t>Área ou setor responsável pela Atividade ou Projeto</t>
        </r>
      </text>
    </comment>
    <comment ref="B6" authorId="0" shapeId="0">
      <text>
        <r>
          <rPr>
            <b/>
            <sz val="14"/>
            <color indexed="81"/>
            <rFont val="Calibri"/>
            <family val="2"/>
            <scheme val="minor"/>
          </rPr>
          <t>P= Projeto                                        
 A= Atividade 
PE= Projeto Específico</t>
        </r>
      </text>
    </comment>
    <comment ref="C6" authorId="0" shapeId="0">
      <text>
        <r>
          <rPr>
            <b/>
            <sz val="14"/>
            <color indexed="81"/>
            <rFont val="Calibri"/>
            <family val="2"/>
            <scheme val="minor"/>
          </rPr>
          <t>Nome do Projeto ou Atividade do Plano de Ação.</t>
        </r>
      </text>
    </comment>
    <comment ref="D6" authorId="0" shapeId="0">
      <text>
        <r>
          <rPr>
            <b/>
            <sz val="14"/>
            <color indexed="81"/>
            <rFont val="Calibri"/>
            <family val="2"/>
            <scheme val="minor"/>
          </rPr>
          <t>É a motivação geral e a síntese dos efeitos que se deseja produzir.</t>
        </r>
      </text>
    </comment>
    <comment ref="E6" authorId="0" shapeId="0">
      <text>
        <r>
          <rPr>
            <b/>
            <sz val="14"/>
            <color indexed="81"/>
            <rFont val="Calibri"/>
            <family val="2"/>
            <scheme val="minor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F6" authorId="0" shapeId="0">
      <text>
        <r>
          <rPr>
            <sz val="14"/>
            <color indexed="81"/>
            <rFont val="Calibri"/>
            <family val="2"/>
            <scheme val="minor"/>
          </rPr>
          <t xml:space="preserve">Ao firmar o compromisso de incluir os ODS à sua estratégia, o CAU abre caminho para melhorar sua atuação e atender aos anseios da sociedade por projetos e serviços alinhados aos princípios da sustentabilidade. Neste contexto, torna-se </t>
        </r>
        <r>
          <rPr>
            <b/>
            <sz val="14"/>
            <color indexed="81"/>
            <rFont val="Calibri"/>
            <family val="2"/>
            <scheme val="minor"/>
          </rPr>
          <t>facultativo</t>
        </r>
        <r>
          <rPr>
            <sz val="14"/>
            <color indexed="81"/>
            <rFont val="Calibri"/>
            <family val="2"/>
            <scheme val="minor"/>
          </rPr>
          <t xml:space="preserve"> o enquadramento dos projetos e atividades nos ODS em 2023.</t>
        </r>
      </text>
    </comment>
    <comment ref="G6" authorId="0" shapeId="0">
      <text>
        <r>
          <rPr>
            <b/>
            <sz val="14"/>
            <color indexed="81"/>
            <rFont val="Calibri"/>
            <family val="2"/>
            <scheme val="minor"/>
          </rPr>
          <t xml:space="preserve">São os efeitos que devem ser produzidos com a execução do projeto/atividade, dentro do seu horizonte do tempo. Refletem o objetivo geral do projeto e representam o seu desdobramento em metas mensuráveis. </t>
        </r>
      </text>
    </comment>
    <comment ref="H6" authorId="0" shapeId="0">
      <text>
        <r>
          <rPr>
            <b/>
            <sz val="14"/>
            <color indexed="81"/>
            <rFont val="Calibri"/>
            <family val="2"/>
            <scheme val="minor"/>
          </rPr>
          <t>Os valores devem ser iguais do último Plano de Ação aprovado em 2022.</t>
        </r>
      </text>
    </comment>
    <comment ref="I6" authorId="0" shapeId="0">
      <text>
        <r>
          <rPr>
            <b/>
            <sz val="14"/>
            <color indexed="81"/>
            <rFont val="Calibri"/>
            <family val="2"/>
            <scheme val="minor"/>
          </rPr>
          <t xml:space="preserve">Valores  dos Projetos/Projetos Específicos/Atividades do Plano de Ação da Programação 2023
</t>
        </r>
      </text>
    </comment>
  </commentList>
</comments>
</file>

<file path=xl/comments2.xml><?xml version="1.0" encoding="utf-8"?>
<comments xmlns="http://schemas.openxmlformats.org/spreadsheetml/2006/main">
  <authors>
    <author>Flavia Rios Costa</author>
    <author>Marcos Cristino</author>
    <author>Tania Mara Chaves Daldegan</author>
  </authors>
  <commentList>
    <comment ref="C5" authorId="0" shapeId="0">
      <text>
        <r>
          <rPr>
            <b/>
            <sz val="12"/>
            <color indexed="81"/>
            <rFont val="Calibri"/>
            <family val="2"/>
            <scheme val="minor"/>
          </rPr>
          <t>O valor da Reprogramação 2022 deve ser igual ao valor APROVADO vigente no Plano de Ação 2022.</t>
        </r>
      </text>
    </comment>
    <comment ref="D5" authorId="1" shapeId="0">
      <text>
        <r>
          <rPr>
            <b/>
            <sz val="12"/>
            <color indexed="81"/>
            <rFont val="Calibri"/>
            <family val="2"/>
            <scheme val="minor"/>
          </rPr>
          <t>Os valores devem ser os aprovados nas Diretrizes da Programação 2023.</t>
        </r>
      </text>
    </comment>
    <comment ref="A11" authorId="0" shapeId="0">
      <text>
        <r>
          <rPr>
            <b/>
            <sz val="12"/>
            <color indexed="81"/>
            <rFont val="Calibri"/>
            <family val="2"/>
            <scheme val="minor"/>
          </rPr>
          <t>Somar os valores do exercício 2022
 e exercícios anteriores.</t>
        </r>
      </text>
    </comment>
    <comment ref="A14" authorId="0" shapeId="0">
      <text>
        <r>
          <rPr>
            <b/>
            <sz val="10"/>
            <color indexed="81"/>
            <rFont val="Tahoma"/>
            <family val="2"/>
          </rPr>
          <t>Somar os valores do exercício 2022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</rPr>
          <t>Apenas o Valor do APORTE DO CSC</t>
        </r>
        <r>
          <rPr>
            <sz val="9"/>
            <color indexed="81"/>
            <rFont val="Tahoma"/>
            <family val="2"/>
          </rPr>
          <t xml:space="preserve">
Fiscalização + Atendimento</t>
        </r>
      </text>
    </comment>
    <comment ref="E39" authorId="2" shapeId="0">
      <text>
        <r>
          <rPr>
            <b/>
            <sz val="9"/>
            <color indexed="81"/>
            <rFont val="Segoe UI"/>
            <family val="2"/>
          </rPr>
          <t xml:space="preserve">Anexo 1 da Reprogramação 2022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50" authorId="1" shapeId="0">
      <text>
        <r>
          <rPr>
            <b/>
            <sz val="12"/>
            <color indexed="81"/>
            <rFont val="Calibri"/>
            <family val="2"/>
            <scheme val="minor"/>
          </rPr>
          <t>Superávit a ser utilizado, de acordo com o Art. 9 da Resolução 200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  <author>Marcos Cristino</author>
    <author>Tania Mara Chaves Daldegan</author>
    <author>Fabiana ...</author>
  </authors>
  <commentList>
    <comment ref="B6" authorId="0" shapeId="0">
      <text>
        <r>
          <rPr>
            <b/>
            <sz val="11"/>
            <color indexed="81"/>
            <rFont val="Tahoma"/>
            <family val="2"/>
          </rPr>
          <t>Vinculada as Receitas de Arrecadação do Anexo 1 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2023.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1" shapeId="0">
      <text>
        <r>
          <rPr>
            <sz val="9"/>
            <color indexed="81"/>
            <rFont val="Segoe UI"/>
            <family val="2"/>
          </rPr>
          <t>Apresentar detalhamento no campo de comentários.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F13" authorId="2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3" shapeId="0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4" authorId="2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2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5" authorId="3" shapeId="0">
      <text>
        <r>
          <rPr>
            <sz val="12"/>
            <color indexed="81"/>
            <rFont val="Segoe UI"/>
            <family val="2"/>
          </rPr>
          <t xml:space="preserve"> Folhas de pagamento (salários, encargos e benefícios)</t>
        </r>
      </text>
    </comment>
    <comment ref="F16" authorId="2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2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2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2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2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2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2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2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2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5" authorId="2" shapeId="0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6" authorId="2" shapeId="0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Tania Mara Chaves Daldegan</author>
  </authors>
  <commentList>
    <comment ref="L5" authorId="0" shapeId="0">
      <text>
        <r>
          <rPr>
            <b/>
            <sz val="9"/>
            <color indexed="81"/>
            <rFont val="Segoe UI"/>
            <family val="2"/>
          </rPr>
          <t>Aporte ao Fundo de apoio
Aporte o CSC
Patrocínio
Convênios</t>
        </r>
      </text>
    </comment>
  </commentList>
</comments>
</file>

<file path=xl/sharedStrings.xml><?xml version="1.0" encoding="utf-8"?>
<sst xmlns="http://schemas.openxmlformats.org/spreadsheetml/2006/main" count="791" uniqueCount="507">
  <si>
    <t>Total</t>
  </si>
  <si>
    <t>Pessoal</t>
  </si>
  <si>
    <t>Imobilizado</t>
  </si>
  <si>
    <t>Variação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</si>
  <si>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</si>
  <si>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</si>
  <si>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</si>
  <si>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</si>
  <si>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</si>
  <si>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</si>
  <si>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</si>
  <si>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</si>
  <si>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</si>
  <si>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</si>
  <si>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</si>
  <si>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</si>
  <si>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II – TOTAL</t>
  </si>
  <si>
    <t>VARIAÇÃO (I-II)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</si>
  <si>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</si>
  <si>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</si>
  <si>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</si>
  <si>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</si>
  <si>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</si>
  <si>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</si>
  <si>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</si>
  <si>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</si>
  <si>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</si>
  <si>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</si>
  <si>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</si>
  <si>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</si>
  <si>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</si>
  <si>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</si>
  <si>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</si>
  <si>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Indicadores Institucionais e de Resultado (agrupados por objetivo estratégico) - Metas</t>
  </si>
  <si>
    <t>Objetivo Estratégico Principal</t>
  </si>
  <si>
    <t>MAPA ESTRATÉGICO CAU/UF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</si>
  <si>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</si>
  <si>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</si>
  <si>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</si>
  <si>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</si>
  <si>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</si>
  <si>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</si>
  <si>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</si>
  <si>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</si>
  <si>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</si>
  <si>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TOTAL GERAL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</si>
  <si>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</si>
  <si>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</si>
  <si>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</si>
  <si>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</si>
  <si>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</si>
  <si>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</si>
  <si>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Variação (%)</t>
  </si>
  <si>
    <t>LIMITES</t>
  </si>
  <si>
    <t xml:space="preserve">Objetivo Geral </t>
  </si>
  <si>
    <t xml:space="preserve">Fórmula </t>
  </si>
  <si>
    <t xml:space="preserve">Periodicidade </t>
  </si>
  <si>
    <t>B- INDICADORES DE RESULTADO</t>
  </si>
  <si>
    <t>A- INDICADORES INSTITUCIONAIS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</si>
  <si>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</si>
  <si>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</si>
  <si>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</si>
  <si>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</si>
  <si>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</si>
  <si>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</si>
  <si>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</si>
  <si>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</si>
  <si>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Resultado</t>
  </si>
  <si>
    <t>1.1.3 RRT</t>
  </si>
  <si>
    <t xml:space="preserve">BASE DE CÁLCULO </t>
  </si>
  <si>
    <t xml:space="preserve">Variação </t>
  </si>
  <si>
    <t xml:space="preserve">CATEGORIA ECONÔMICA </t>
  </si>
  <si>
    <t>Corrente</t>
  </si>
  <si>
    <t xml:space="preserve">Capital </t>
  </si>
  <si>
    <t>5.  Receita da Arrecadação Líquida (RAL = 3 - 4)</t>
  </si>
  <si>
    <t>Anual</t>
  </si>
  <si>
    <t>Trimestral</t>
  </si>
  <si>
    <t>1.1.1.1.2 Anuidade Exercícios anteriores</t>
  </si>
  <si>
    <t>1.1.1.2.2 Anuidade Exercícios anteriores</t>
  </si>
  <si>
    <t>1.1 Receitas de Arrecadação Total</t>
  </si>
  <si>
    <t>x 100</t>
  </si>
  <si>
    <t>Mensal</t>
  </si>
  <si>
    <t>Semestral</t>
  </si>
  <si>
    <t>número de usuários satisfeitos com a solução da demanda</t>
  </si>
  <si>
    <t>número de usuários que responderam a pesquisa</t>
  </si>
  <si>
    <t>total de notícias sobre questões de Arquitetura e Urbanismo</t>
  </si>
  <si>
    <t>total de inserções do CAU na mídia</t>
  </si>
  <si>
    <t>passivo circulante</t>
  </si>
  <si>
    <t>total de profissionais ativos</t>
  </si>
  <si>
    <t>total de empresas inadimplentes</t>
  </si>
  <si>
    <t>horas totais de treinamento</t>
  </si>
  <si>
    <t>número total de colaboradores e dirigentes</t>
  </si>
  <si>
    <t>total de usuários internos que participaram da pesquisa</t>
  </si>
  <si>
    <t>total de usuários externos que participaram da pesquisa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</si>
  <si>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</si>
  <si>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</si>
  <si>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</si>
  <si>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</si>
  <si>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</si>
  <si>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</si>
  <si>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</si>
  <si>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</si>
  <si>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</si>
  <si>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</si>
  <si>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</si>
  <si>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</si>
  <si>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</si>
  <si>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</si>
  <si>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</si>
  <si>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</si>
  <si>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I - Receitas</t>
  </si>
  <si>
    <t>II - Despesas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</si>
  <si>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</si>
  <si>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</si>
  <si>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</si>
  <si>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</si>
  <si>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</si>
  <si>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</si>
  <si>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</si>
  <si>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</si>
  <si>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</si>
  <si>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</si>
  <si>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</si>
  <si>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</si>
  <si>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</si>
  <si>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</si>
  <si>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</si>
  <si>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</si>
  <si>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</si>
  <si>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</si>
  <si>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</si>
  <si>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</si>
  <si>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</si>
  <si>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</si>
  <si>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</si>
  <si>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</si>
  <si>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</si>
  <si>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</si>
  <si>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</si>
  <si>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 xml:space="preserve">Objetivos de Desenvolvimento Sustentável 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</si>
  <si>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</si>
  <si>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</si>
  <si>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</si>
  <si>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</si>
  <si>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</si>
  <si>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</si>
  <si>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</si>
  <si>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P/A/ PE</t>
  </si>
  <si>
    <t>RRT mínima</t>
  </si>
  <si>
    <t>número de usuários internos satisfeitos com a tecnologia</t>
  </si>
  <si>
    <t>número de usuários externos satisfeitos com a tecnologia</t>
  </si>
  <si>
    <t>ativo circulante</t>
  </si>
  <si>
    <t>total de profissionais inadimplentes</t>
  </si>
  <si>
    <t>número de processos éticos concluídos em um ano</t>
  </si>
  <si>
    <t>Variação
(%)</t>
  </si>
  <si>
    <t>Orientações de Preenchimento dos Elementos de Despesas:</t>
  </si>
  <si>
    <t>% 
(D= C/A *100)</t>
  </si>
  <si>
    <t>1.1.4 Taxas e Multas</t>
  </si>
  <si>
    <t>Valores
 (C=B-A)</t>
  </si>
  <si>
    <t>%       
 (D=C/A)</t>
  </si>
  <si>
    <t xml:space="preserve">1. Receita de Arrecadação Total </t>
  </si>
  <si>
    <t xml:space="preserve">Reserva de 
Contingência </t>
  </si>
  <si>
    <t>FONTES (R$)</t>
  </si>
  <si>
    <t>APLICAÇÃO (R$)</t>
  </si>
  <si>
    <t>número de municípios  da UF que possuem  Plano Diretor</t>
  </si>
  <si>
    <t>total de municípios da UF</t>
  </si>
  <si>
    <t xml:space="preserve">quantidade de ações de fiscalização realizadas pelo CAU/UF no mês </t>
  </si>
  <si>
    <t xml:space="preserve">Mensal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</si>
  <si>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</si>
  <si>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</si>
  <si>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</si>
  <si>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</si>
  <si>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</si>
  <si>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</si>
  <si>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</si>
  <si>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</si>
  <si>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</si>
  <si>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</si>
  <si>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</si>
  <si>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mensal de ações de fiscalização realizada</t>
  </si>
  <si>
    <t>número de horas de fiscalização mensal</t>
  </si>
  <si>
    <t>quantidade obras e serviços com RRT</t>
  </si>
  <si>
    <t>quantidade de obras e serviços regularizados</t>
  </si>
  <si>
    <t>quantidade de obras e serviços regularizados com RRT</t>
  </si>
  <si>
    <t>quantidade obras e serviços regularizados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</si>
  <si>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</si>
  <si>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</si>
  <si>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</si>
  <si>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 xml:space="preserve">Anual
</t>
  </si>
  <si>
    <t>valor orçamentário destinado (orçado) em patrocínios no ano</t>
  </si>
  <si>
    <t>Quantidade de participantes presentes</t>
  </si>
  <si>
    <t>quantidade de participantes previstas no Plano de Ação Aprovado</t>
  </si>
  <si>
    <t>custos totais dos eventos</t>
  </si>
  <si>
    <t>quantidade de participantes presentes</t>
  </si>
  <si>
    <t>número de pessoas atingida pelo material produzido e distribuído</t>
  </si>
  <si>
    <t>quantidade de material informativo produzido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</si>
  <si>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</si>
  <si>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</si>
  <si>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</si>
  <si>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inserções na mídia em geral onde o CAU/UF foi citado</t>
  </si>
  <si>
    <t>número de inserções positivas do CAU/UF na mídia</t>
  </si>
  <si>
    <t>Número de  visualizações das publicações do CAU/UF das redes sociais</t>
  </si>
  <si>
    <t>quantidade de visualizações das publicações do CAU/UF das redes sociais</t>
  </si>
  <si>
    <t>número de escolas da UF com a disciplina de ética profissional na grade curricular</t>
  </si>
  <si>
    <t>número total de escolas da UF</t>
  </si>
  <si>
    <t>número total de processos éticos abertos</t>
  </si>
  <si>
    <t>tempo médio de conclusão de processos éticos</t>
  </si>
  <si>
    <t>tempo máximo para conclusão de processo</t>
  </si>
  <si>
    <t>total de RRT na UF</t>
  </si>
  <si>
    <t>população total da UF/1000 habitantes</t>
  </si>
  <si>
    <t>RRT Social</t>
  </si>
  <si>
    <t>receita corrente</t>
  </si>
  <si>
    <t xml:space="preserve">Semestral 
</t>
  </si>
  <si>
    <t>custo total de pessoal</t>
  </si>
  <si>
    <t xml:space="preserve">Semestral </t>
  </si>
  <si>
    <t xml:space="preserve">total de empresas ativas </t>
  </si>
  <si>
    <t>número de processos mapeados</t>
  </si>
  <si>
    <t xml:space="preserve">total de processos existentes </t>
  </si>
  <si>
    <t>número de processos normatizados</t>
  </si>
  <si>
    <t>total de processos existentes</t>
  </si>
  <si>
    <t>número de processos automatizados</t>
  </si>
  <si>
    <t>Número de ações executadas</t>
  </si>
  <si>
    <t xml:space="preserve">quantidade de ações executadas voltadas à cultura organizacional e estratégia                                                                                                                  </t>
  </si>
  <si>
    <t>Índice de cumprimento das metas do Plano de Ação (%)</t>
  </si>
  <si>
    <t>COMENTÁRIOS/JUSTIFICATIVAS:</t>
  </si>
  <si>
    <t>Orientação:  As células sinalizadas, em cinza, são fórmulas e não devem ser modificadas.</t>
  </si>
  <si>
    <t>Correntes
(R$)</t>
  </si>
  <si>
    <t>Capital
(R$)</t>
  </si>
  <si>
    <t>TOTAL
(R$)</t>
  </si>
  <si>
    <t>Justificativas para os indicadores que não foram propostas metas:</t>
  </si>
  <si>
    <t>07 - Energia limpa e acessível </t>
  </si>
  <si>
    <t>número de solicitações tratadas no prazo estipulado pela Carta de Serviços no trimestre</t>
  </si>
  <si>
    <t>número de solicitações abertas no trimestre</t>
  </si>
  <si>
    <t>total de RRT pagos na UF</t>
  </si>
  <si>
    <t>total de profissionais potenciais pagantes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</si>
  <si>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</si>
  <si>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</si>
  <si>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</si>
  <si>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</si>
  <si>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</si>
  <si>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</si>
  <si>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</si>
  <si>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</si>
  <si>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</si>
  <si>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</si>
  <si>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</si>
  <si>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</si>
  <si>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</si>
  <si>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</si>
  <si>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</si>
  <si>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</si>
  <si>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</si>
  <si>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</si>
  <si>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</si>
  <si>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</si>
  <si>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</si>
  <si>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</si>
  <si>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presença na mídia como um todo (%)
</t>
    </r>
    <r>
      <rPr>
        <b/>
        <sz val="12"/>
        <rFont val="Calibri"/>
        <family val="2"/>
        <scheme val="minor"/>
      </rPr>
      <t>(CAU/UF)</t>
    </r>
  </si>
  <si>
    <r>
      <t xml:space="preserve">Índice de inserções positivas na mídia (%)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</si>
  <si>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</si>
  <si>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</si>
  <si>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</si>
  <si>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</si>
  <si>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</si>
  <si>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</si>
  <si>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</si>
  <si>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Relação receita/custo total de pessoal (%)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</si>
  <si>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</si>
  <si>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</si>
  <si>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</si>
  <si>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r>
      <t xml:space="preserve">Índice de mapeamento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</si>
  <si>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normatização de processos (%)
</t>
    </r>
    <r>
      <rPr>
        <b/>
        <sz val="12"/>
        <rFont val="Calibri"/>
        <family val="2"/>
        <scheme val="minor"/>
      </rPr>
      <t>(CAU/UF)</t>
    </r>
  </si>
  <si>
    <r>
      <t xml:space="preserve">Índice de automação de processos (%)
</t>
    </r>
    <r>
      <rPr>
        <b/>
        <sz val="12"/>
        <rFont val="Calibri"/>
        <family val="2"/>
        <scheme val="minor"/>
      </rPr>
      <t>(CAU/UF)</t>
    </r>
  </si>
  <si>
    <r>
      <t xml:space="preserve">Média de horas de treinamento por colaboradores e dirigentes
</t>
    </r>
    <r>
      <rPr>
        <b/>
        <sz val="12"/>
        <rFont val="Calibri"/>
        <family val="2"/>
        <scheme val="minor"/>
      </rPr>
      <t>(CAU/UF)</t>
    </r>
  </si>
  <si>
    <r>
      <t>total de iniciativas executadas</t>
    </r>
    <r>
      <rPr>
        <b/>
        <sz val="12"/>
        <rFont val="Calibri"/>
        <family val="2"/>
        <scheme val="minor"/>
      </rPr>
      <t xml:space="preserve">                                                                       </t>
    </r>
  </si>
  <si>
    <r>
      <t>total de iniciativas planejadas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</si>
  <si>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Índice de satisfação interna com a tecnologia utilizada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</si>
  <si>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externa com a tecnologia utilizada (%)
</t>
    </r>
    <r>
      <rPr>
        <b/>
        <sz val="12"/>
        <rFont val="Calibri"/>
        <family val="2"/>
        <scheme val="minor"/>
      </rPr>
      <t>(CAU/UF)</t>
    </r>
  </si>
  <si>
    <t>Indicadores selecionados pelo UF (para uso do CAU/BR)</t>
  </si>
  <si>
    <t>Objetivos de Desenvolvimento Sustentável</t>
  </si>
  <si>
    <t xml:space="preserve"> Valor (R$)
(C=B-A)</t>
  </si>
  <si>
    <t>II - Despesas de capital</t>
  </si>
  <si>
    <t>A. Saldo IV = (I-II-III)</t>
  </si>
  <si>
    <t>Deliberação que aprova PE</t>
  </si>
  <si>
    <t>P</t>
  </si>
  <si>
    <t>A</t>
  </si>
  <si>
    <t>PE</t>
  </si>
  <si>
    <t>P.</t>
  </si>
  <si>
    <t>A.</t>
  </si>
  <si>
    <t>PE.</t>
  </si>
  <si>
    <t>Superávit Financeiro para Projetos Específicos</t>
  </si>
  <si>
    <t>Informações</t>
  </si>
  <si>
    <t>2. Receitas de Capital</t>
  </si>
  <si>
    <t>1. Programação Operacional</t>
  </si>
  <si>
    <t>1.1 Projetos</t>
  </si>
  <si>
    <t>1.2 Projetos Específicos</t>
  </si>
  <si>
    <t>1.3 Atividades</t>
  </si>
  <si>
    <t>2. Aportes ao Fundo de Apoio</t>
  </si>
  <si>
    <t xml:space="preserve">3. Aporte ao CSC </t>
  </si>
  <si>
    <t>4. Reserva de Contingência</t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</si>
  <si>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</si>
  <si>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>Os itens de custo devem ser:
•</t>
    </r>
    <r>
      <rPr>
        <b/>
        <sz val="12"/>
        <color theme="1"/>
        <rFont val="Arial"/>
        <family val="2"/>
      </rPr>
      <t xml:space="preserve"> Pessoal (Salários, Encargos e Benefícios) </t>
    </r>
    <r>
      <rPr>
        <sz val="12"/>
        <color theme="1"/>
        <rFont val="Arial"/>
        <family val="2"/>
      </rPr>
      <t xml:space="preserve">
a) Pessoal e Encargos:  compreende salários; gratificações; 13º salário; férias; 1/3 férias, abono e horas extras; INSS; FGTS e PIS; vale transporte, auxílio alimentação, plano de saúde e outros benefícios.
b) Diárias – compreende diárias de funcionários com vínculo empregatício com o Conselho.
</t>
    </r>
    <r>
      <rPr>
        <b/>
        <sz val="12"/>
        <color theme="1"/>
        <rFont val="Arial"/>
        <family val="2"/>
      </rPr>
      <t>• Material de Consumo</t>
    </r>
    <r>
      <rPr>
        <sz val="12"/>
        <color theme="1"/>
        <rFont val="Arial"/>
        <family val="2"/>
      </rPr>
      <t xml:space="preserve"> – compreende material de expediente; informática; e outros materiais de consumo que não sejam classificados como material permanente. 
</t>
    </r>
    <r>
      <rPr>
        <b/>
        <sz val="12"/>
        <color theme="1"/>
        <rFont val="Arial"/>
        <family val="2"/>
      </rPr>
      <t xml:space="preserve">• Serviços de Terceiros: </t>
    </r>
    <r>
      <rPr>
        <sz val="12"/>
        <color theme="1"/>
        <rFont val="Arial"/>
        <family val="2"/>
      </rPr>
      <t xml:space="preserve">
a) Diárias – compreende diárias do presidente, de conselheiros e de convidados.
b) Passagens – compreende passagens de funcionários, presidente, conselheiros, e convidados.
c) Serviços Prestados (PF e PJ) – compreende todo serviço prestado por pessoa jurídica como: consultorias; serviços de comunicação e divulgação; manutenção de sistemas informatizados; locação de bens móveis e imóveis, condomínios, reparos e conservação de bens móveis e imóveis; serviços de água e energia elétrica; correios; telecomunicações e outras despesas correntes não classificáveis nos itens anteriores e  remunerações de serviços prestados por pessoa física; remuneração de estagiários, e remuneração de menores aprendizes.
</t>
    </r>
    <r>
      <rPr>
        <b/>
        <sz val="12"/>
        <color theme="1"/>
        <rFont val="Arial"/>
        <family val="2"/>
      </rPr>
      <t>. Transferências Correntes</t>
    </r>
    <r>
      <rPr>
        <sz val="12"/>
        <color theme="1"/>
        <rFont val="Arial"/>
        <family val="2"/>
      </rPr>
      <t xml:space="preserve">: compreende os repasses ao Fundo de Apoio; os repasses ao Centro de Serviço Compartilhado - CSC; convênios, acordos, ajuda as entidades e patrocínios.
</t>
    </r>
    <r>
      <rPr>
        <b/>
        <sz val="12"/>
        <color theme="1"/>
        <rFont val="Arial"/>
        <family val="2"/>
      </rPr>
      <t xml:space="preserve">. Reserva de Contingência: </t>
    </r>
    <r>
      <rPr>
        <sz val="12"/>
        <color theme="1"/>
        <rFont val="Arial"/>
        <family val="2"/>
      </rPr>
      <t xml:space="preserve">compreende as despesas não previstas no plano de ação.
</t>
    </r>
    <r>
      <rPr>
        <b/>
        <sz val="12"/>
        <color theme="1"/>
        <rFont val="Arial"/>
        <family val="2"/>
      </rPr>
      <t>. Encargos Diversos –</t>
    </r>
    <r>
      <rPr>
        <sz val="12"/>
        <color theme="1"/>
        <rFont val="Arial"/>
        <family val="2"/>
      </rPr>
      <t xml:space="preserve"> compreende as taxas bancárias; impostos e taxas diversas; despesas judiciais; e outros encargos.
</t>
    </r>
    <r>
      <rPr>
        <b/>
        <sz val="12"/>
        <color theme="1"/>
        <rFont val="Arial"/>
        <family val="2"/>
      </rPr>
      <t xml:space="preserve">. Imobilizado </t>
    </r>
    <r>
      <rPr>
        <sz val="12"/>
        <color theme="1"/>
        <rFont val="Arial"/>
        <family val="2"/>
      </rPr>
      <t>– compreende os investimentos como: aquisição de equipamentos e materiais permanentes; aquisição de imóveis; e outros investimentos.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</si>
  <si>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</si>
  <si>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</si>
  <si>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</si>
  <si>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</si>
  <si>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</si>
  <si>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</si>
  <si>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</si>
  <si>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</si>
  <si>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</si>
  <si>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</si>
  <si>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</si>
  <si>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</si>
  <si>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</si>
  <si>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MT</t>
  </si>
  <si>
    <t>MS</t>
  </si>
  <si>
    <t>MG</t>
  </si>
  <si>
    <t>MA</t>
  </si>
  <si>
    <t>GO</t>
  </si>
  <si>
    <t>ES</t>
  </si>
  <si>
    <t>DF</t>
  </si>
  <si>
    <t>CE</t>
  </si>
  <si>
    <t>BA</t>
  </si>
  <si>
    <t>AP</t>
  </si>
  <si>
    <t>AM</t>
  </si>
  <si>
    <t>AL</t>
  </si>
  <si>
    <t>AC</t>
  </si>
  <si>
    <t>gerplan2022</t>
  </si>
  <si>
    <t>8) Atentar as orientações em amarelo em cada aba da Planilha.</t>
  </si>
  <si>
    <r>
      <t xml:space="preserve">Frente aos objetivos estratégicos selecionados no Mapa Estratégico (nacionais e locais), sugerimos a seleção de ao menos um indicador vinculado a cada objetivo.
</t>
    </r>
    <r>
      <rPr>
        <b/>
        <sz val="12"/>
        <color theme="1"/>
        <rFont val="Calibri"/>
        <family val="2"/>
        <scheme val="minor"/>
      </rPr>
      <t>Caso não defina meta, favor justificar neste campo.</t>
    </r>
  </si>
  <si>
    <t xml:space="preserve">Part. %
 (E)           </t>
  </si>
  <si>
    <t>A - FONTES</t>
  </si>
  <si>
    <t>B. APLICAÇÕES</t>
  </si>
  <si>
    <t>-</t>
  </si>
  <si>
    <t>Orientações para preenchimento do Modelo do Plano de Ação - Programação 2023</t>
  </si>
  <si>
    <t>1) Usar o arquivo da Programação 2023 enviado pela GERPLAN. O anexo 4 é de preenchimento facultativo.</t>
  </si>
  <si>
    <t>9) Não reexibir e alterar as abas ocultas, são para uso posterior da GERPLAN e auxiliarão na elaboração dos Pareceres da Programação 2023.</t>
  </si>
  <si>
    <t>Meta
Reprogramação
2022</t>
  </si>
  <si>
    <t>Meta
Projeção
2023</t>
  </si>
  <si>
    <t>Reprogramação
2022 
R$ (A)</t>
  </si>
  <si>
    <t>Programação
 2023
 R$ (B)</t>
  </si>
  <si>
    <r>
      <t xml:space="preserve">Orientação: As células sinalizadas, em cinza, são fórmulas e não devem ser modificadas. Verificar os comentários colocando o cursor na célula correspondente, no cabeçalho. </t>
    </r>
    <r>
      <rPr>
        <b/>
        <sz val="12"/>
        <color theme="1"/>
        <rFont val="Calibri"/>
        <family val="2"/>
        <scheme val="minor"/>
      </rPr>
      <t>Caso seja necessário aumentar o número de linhas, favor verificar a continuidade das fórmulas. 
O enquadramento aos Objetivos de Desenvolvimento Sustentável (ODS) é facultativo. Cabe ressaltar que o aporte ao CSC e o custeio da Participação do Presidente nas Plenárias Ampliadas, para os CAU/Básicos, devem ser custeados pelo Fundo de Apoio, obedecendo as Resoluções 119 e 126 e a Proposta 02/2022 - CG-FA.</t>
    </r>
  </si>
  <si>
    <t>PLANO DE AÇÃO - PROGRAMAÇÃO  2023</t>
  </si>
  <si>
    <t>Anexo 1 - Demonstrativo de Fontes e Aplicações - Programação 2023</t>
  </si>
  <si>
    <t>1.1.1.1.1 Anuidade do Exercício 2023</t>
  </si>
  <si>
    <t>1.1.1.2.1 Anuidade do Exercício 2023</t>
  </si>
  <si>
    <t>RESUMO DA PROGRAMAÇÃO 2023 - POR CATEGORIA ECONÔMICA</t>
  </si>
  <si>
    <t>Programação 
2023 
(B)</t>
  </si>
  <si>
    <t xml:space="preserve">Variação (2023/2022) </t>
  </si>
  <si>
    <t>Reprogramação 
2022 
(A)</t>
  </si>
  <si>
    <t>Anexo 2 - Limites de Aplicação dos Recursos Estratégicos - Programação 2023</t>
  </si>
  <si>
    <t>Programação
 2023</t>
  </si>
  <si>
    <t>JUSTIFICATIVA - quando da flexibilização da aplicação de recursos mínimos e máximos do limite estratégico de Capacitação do Plano de Ação e Orçamento de 2023.</t>
  </si>
  <si>
    <t>Reprogramação
 2022</t>
  </si>
  <si>
    <t>Programação 2023</t>
  </si>
  <si>
    <t>5) O valor da Reprogramação 2022 deve ser igual ao valor da última Reprogramação APROVADA 2022, ou seja, sem transposição.</t>
  </si>
  <si>
    <t>6) Para fins de manter a padronização deste documento:
- Não alterar cores, fórmulas e formatações no modelo;
- No preenchimento das células utilizar letras maiúsculas apenas em siglas e no começo da frase.</t>
  </si>
  <si>
    <t>LEGENDA: P = PROJETO/ A = ATIVIDADE/ PE = PROJETO ESPECÍFICO</t>
  </si>
  <si>
    <t>Orientação:  Na proposta da Programação 2023, para as receitas  de Arrecadação - anuidades de PF e PJ  (do exercício 2023 e dos exercícios anteriores), RRT, taxas e multas, devem ser considerados os valores constantes das Diretrizes da Programação 2023. 
Caso o CAU/UF apresente projeções de receitas divergentes das aprovadas nas Diretrizes da Programação 2023, é necessário justificar a alteração e nos informar qual a nova posição do CAU/UF em relação às quantidades e inadimplências aplicadas às projeções de 2023 (PF; PJ; RRT; Taxas e Multas). Para tanto, deve-se utilizar a Minuta das Diretrizes da Programação 2023 e encaminhá-la à GERPLAN.
As receitas de exercícios anteriores devem ser projetadas no mínimo de 10% do valor total a ser arrecadado por cada CAU/UF.  As células sinalizadas, em cinza, são fórmulas e não devem ser modificadas. Verificar os comentários colocando o cursor na célula correspondente, no cabeçalho.</t>
  </si>
  <si>
    <t>Programação
 2023
  (B)</t>
  </si>
  <si>
    <t>Reprogramação
 2022
 (A)</t>
  </si>
  <si>
    <t>I - Superávit financeiro acumulado em 2021</t>
  </si>
  <si>
    <t>2) Os objetivos estratégicos em âmbito nacional, deverão mantidos em 2023*: Fiscalização, AU como Política de Estado e Acesso da Sociedade à AU, e devem ser obrigatoriamente trabalhados.</t>
  </si>
  <si>
    <t>3) A Receita de Arrecadação Líquida (RAL) será calculada com base na Arrecadação Total, ou seja, com valor do Exercício de 2023 e Exercícios Anteriores. (Anexo 2)</t>
  </si>
  <si>
    <t>4) Vedada a inobservância de aplicação dos percentuais mínimo e máximo, com exceção da Capacitação* . Os órgãos deliberativos dos CAU/UF poderão, mediante as justificativas próprias, flexibilizar a aplicação de recursos mínimos e máximos em Capacitação na Programação do Plano de Ação e Orçamento de 2023. (Anexo 2)</t>
  </si>
  <si>
    <r>
      <t xml:space="preserve">Orientação: Selecionar os objetivos estratégicos prioritários em âmbito local trabalhados em 2023. Os objetivos estratégicos em âmbito nacional, continuam: </t>
    </r>
    <r>
      <rPr>
        <b/>
        <sz val="12"/>
        <rFont val="Calibri"/>
        <family val="2"/>
        <scheme val="minor"/>
      </rPr>
      <t xml:space="preserve">Fiscalização,  AU como Política de Estado e Acesso da Sociedade à AU e </t>
    </r>
    <r>
      <rPr>
        <sz val="12"/>
        <rFont val="Calibri"/>
        <family val="2"/>
        <scheme val="minor"/>
      </rPr>
      <t xml:space="preserve">devem ser obrigatoriamente trabalhados. </t>
    </r>
  </si>
  <si>
    <t>Obs.: Os Indicadores devem ser vinculados aos objetivos estratégicos priorizados no Mapa Estratégico do CAU/UF, ou seja, os indicadores dos objetivos estratégicos escolhidos no Mapa Estratégico devem ser mensurados. Utilizar os dados das Diretrizes da Programação 2023.</t>
  </si>
  <si>
    <t>II a - Percentual de utilização para capital</t>
  </si>
  <si>
    <t>III - Projetos específicos (PE)</t>
  </si>
  <si>
    <t>III a - Percentual de utilização para PE</t>
  </si>
  <si>
    <r>
      <t xml:space="preserve">Fiscalização
</t>
    </r>
    <r>
      <rPr>
        <b/>
        <sz val="12"/>
        <color rgb="FFFF0000"/>
        <rFont val="Calibri"/>
        <family val="2"/>
        <scheme val="minor"/>
      </rPr>
      <t xml:space="preserve">(mínimo de 15 % do total da RAL)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</t>
    </r>
  </si>
  <si>
    <r>
      <t xml:space="preserve">Atendimento
</t>
    </r>
    <r>
      <rPr>
        <b/>
        <sz val="12"/>
        <color rgb="FFFF0000"/>
        <rFont val="Calibri"/>
        <family val="2"/>
        <scheme val="minor"/>
      </rPr>
      <t>(mínimo de 10 % do total da RAL)</t>
    </r>
  </si>
  <si>
    <r>
      <t xml:space="preserve">Comunicação
</t>
    </r>
    <r>
      <rPr>
        <b/>
        <sz val="12"/>
        <color rgb="FFFF0000"/>
        <rFont val="Calibri"/>
        <family val="2"/>
        <scheme val="minor"/>
      </rPr>
      <t xml:space="preserve">(mínimo de 3% do total da RAL)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</si>
  <si>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FF0000"/>
        <rFont val="Calibri"/>
        <family val="2"/>
        <scheme val="minor"/>
      </rPr>
      <t xml:space="preserve">(máximo de 5% do total da RAL)      </t>
    </r>
    <r>
      <rPr>
        <b/>
        <sz val="12"/>
        <color indexed="10"/>
        <rFont val="Calibri"/>
        <family val="2"/>
        <scheme val="minor"/>
      </rPr>
      <t xml:space="preserve">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</si>
  <si>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FF0000"/>
        <rFont val="Calibri"/>
        <family val="2"/>
        <scheme val="minor"/>
      </rPr>
      <t xml:space="preserve">(mínimo de 6 % do total da RAL)         </t>
    </r>
    <r>
      <rPr>
        <b/>
        <sz val="12"/>
        <color indexed="21"/>
        <rFont val="Calibri"/>
        <family val="2"/>
        <scheme val="minor"/>
      </rPr>
      <t xml:space="preserve">                </t>
    </r>
  </si>
  <si>
    <r>
      <t xml:space="preserve">Assistência Técnica
</t>
    </r>
    <r>
      <rPr>
        <b/>
        <sz val="12"/>
        <color rgb="FFFF0000"/>
        <rFont val="Calibri"/>
        <family val="2"/>
        <scheme val="minor"/>
      </rPr>
      <t xml:space="preserve">(mínimo de 2% do total da RAL)    </t>
    </r>
  </si>
  <si>
    <r>
      <t xml:space="preserve">Reserva de Contingência
</t>
    </r>
    <r>
      <rPr>
        <b/>
        <sz val="12"/>
        <color rgb="FFFF0000"/>
        <rFont val="Calibri"/>
        <family val="2"/>
        <scheme val="minor"/>
      </rPr>
      <t xml:space="preserve">(até 2 % do total da RAL)        </t>
    </r>
    <r>
      <rPr>
        <b/>
        <sz val="12"/>
        <color indexed="21"/>
        <rFont val="Calibri"/>
        <family val="2"/>
        <scheme val="minor"/>
      </rPr>
      <t xml:space="preserve">      </t>
    </r>
  </si>
  <si>
    <r>
      <t xml:space="preserve"> Despesas com Pessoal
</t>
    </r>
    <r>
      <rPr>
        <b/>
        <sz val="12"/>
        <color rgb="FFFF0000"/>
        <rFont val="Calibri"/>
        <family val="2"/>
        <scheme val="minor"/>
      </rPr>
      <t>(máximo de 60% sobre as Receitas Correntes)</t>
    </r>
  </si>
  <si>
    <t xml:space="preserve">
OBS 1:  Vedada a inobservância de aplicação dos percentuais:
Atendimento - mínimo de 10% da RAL
Fiscalização – mínimo de 15% da RAL
Despesa com pessoal – até 60% das receitas correntes
Comunicação - mínimo de 3% da RAL
Objetivos Locais - mínimo de 6% da RAL
Patrocínios - máximo de 5% da RAL
ATHIS - mínimo de 2% da RAL
Reserva de Contingência - até 2% da RAL</t>
  </si>
  <si>
    <t xml:space="preserve">
OBS 2: Os órgãos deliberativos dos CAU/UF poderão, mediante as justificativas próprias, Flexibilizar a aplicação de recursos mínimos e máximos na Programação do Plano de Ação e Orçamento de 2023, no seguinte item de despesas:
Capacitação – mínimo de 2% e máximo de 4% da folha de pagamento.
Apresentar justificativa no campo abaixo.</t>
  </si>
  <si>
    <t>Anexo 3- Aplicações por Projetos/Atividades - por Elementos de Despesas (Consolidado) - Programação 2023</t>
  </si>
  <si>
    <t xml:space="preserve">CAU/BA  </t>
  </si>
  <si>
    <t>Presidência</t>
  </si>
  <si>
    <t>Direção Geral</t>
  </si>
  <si>
    <t>Gerência Técnica</t>
  </si>
  <si>
    <t>Gerência de Operações</t>
  </si>
  <si>
    <t>Gerência Adm. Financeira</t>
  </si>
  <si>
    <t>Assessoria Jurídica</t>
  </si>
  <si>
    <t>Comissão de Ética</t>
  </si>
  <si>
    <t>Comissão de Atos Administrativos</t>
  </si>
  <si>
    <t>Comissão de Exercício Profissional e Fiscalização</t>
  </si>
  <si>
    <t>Comissão de Planejamento e Finanças</t>
  </si>
  <si>
    <t>Comissão de Ensino</t>
  </si>
  <si>
    <t>Comissão Especial de Política Profissional</t>
  </si>
  <si>
    <t>Comissão Especial Política Urbana</t>
  </si>
  <si>
    <t>Plenária</t>
  </si>
  <si>
    <t>Gerência de Atendimento</t>
  </si>
  <si>
    <t>Gerência de Fiscalização</t>
  </si>
  <si>
    <t>Gerência Administrativa</t>
  </si>
  <si>
    <t>Plenário</t>
  </si>
  <si>
    <t>Articulação Institucional e fomento de parcerias estratégicas.</t>
  </si>
  <si>
    <t>Manutenção Institucional</t>
  </si>
  <si>
    <t>Orientação, esclarecimento e atendimento de demandas de profissionais e empresas</t>
  </si>
  <si>
    <t>Operacionalização dos processos éticos e de multa/fiscalização</t>
  </si>
  <si>
    <t>Manutenção Financeira</t>
  </si>
  <si>
    <t>Consultoria e Assessoria Jurídica</t>
  </si>
  <si>
    <t>Operacionalização e processamento dos  processos éticos</t>
  </si>
  <si>
    <t>Assessoramento organizacional-institucional</t>
  </si>
  <si>
    <t>Operacionalização da Fiscalização e fomento da valorização profissional</t>
  </si>
  <si>
    <t>Operacionalização, Planejamento e Controle do CAU</t>
  </si>
  <si>
    <t>Fomento ao aperfeiçoamento e à formação profissional</t>
  </si>
  <si>
    <t>Fomento a ações que buscam promover melhorias da prática profissional</t>
  </si>
  <si>
    <t>Fomento a ações que buscam promover melhorias da política urbana estadual</t>
  </si>
  <si>
    <t>Operacionalização das reuniões institucionais regimentais</t>
  </si>
  <si>
    <t>Semana do Arquiteto</t>
  </si>
  <si>
    <t>APC - Aperfeiçoamento Profissional Continuado</t>
  </si>
  <si>
    <t>Patrocínio</t>
  </si>
  <si>
    <t>Aporte ao Fundo de Apoio</t>
  </si>
  <si>
    <t>Comunicação Institucional</t>
  </si>
  <si>
    <t>Programa de Capacitação dos Colaboradores</t>
  </si>
  <si>
    <t>Programa de Assistência Técnica</t>
  </si>
  <si>
    <t>Atendimento da Sociedade e arquitetos e urbanistas</t>
  </si>
  <si>
    <t>Reforma sede CAU/BA</t>
  </si>
  <si>
    <t>Aquisição de Equipamentos</t>
  </si>
  <si>
    <t>CSC -Fiscalização</t>
  </si>
  <si>
    <t>CSC- Atendimento</t>
  </si>
  <si>
    <t>Plano de Fiscalização</t>
  </si>
  <si>
    <t>Reserva de Contingência</t>
  </si>
  <si>
    <t>Aquisição sede CAU/BA</t>
  </si>
  <si>
    <t>Concurso</t>
  </si>
  <si>
    <t>Manutenção Administrativa</t>
  </si>
  <si>
    <t>Projeto Intercomissões</t>
  </si>
  <si>
    <t>Prover recursos humanos e materiais para articular parcerias e estimular práticas voltadas a valorização e fiscalização profissional</t>
  </si>
  <si>
    <t>Prover  a estruturação, seja por meio de recursos humanos, equipamentos,  materiais e tecnologia  para execução das atividades das diversas unidades e comissões regimentais e não regimentais do CAU/BA</t>
  </si>
  <si>
    <t xml:space="preserve">Orientar, disciplinar e promover o exercício qualificado da Arquitetura e Urbanismo </t>
  </si>
  <si>
    <t>Prover recursos humanos e materiais para operacionalizar, planejar e identificar o segmento técnico fiscalizável  e no âmbito do Estado da Bahia, além de prover a estruturação dos processos éticos.</t>
  </si>
  <si>
    <t>Prover recursos humanos e materiais, operacionalizar e planejar a continuidade das ações  financeiras do CAU/BA, zelando pelo equilíbrio das contas do Conselho.</t>
  </si>
  <si>
    <t>Prover recursos humanos e materiais para estruturar, organizar e manter em funcionamento a Assessoria Jurídica do CAU-BA.</t>
  </si>
  <si>
    <t>Prover recursos humanos e materiais visando o processamento das demandas ético-disciplinares</t>
  </si>
  <si>
    <t>Prover recursos humanos e materiais visando a estruturação e organização dos normativos do CAU/BA.</t>
  </si>
  <si>
    <t>Prover recursos humanos e materiais visando a estruturação e organização das ações de valorização profissional e de fiscalização.</t>
  </si>
  <si>
    <t>Prover recursos humanos e materiais visando a estruturação e organização do planejamento e de controle do CAU/BA</t>
  </si>
  <si>
    <t>Prover recursos humanos e materiais visando a estruturação e organização da educação continuada e de formação profissional no âmbito do CAU/BA.</t>
  </si>
  <si>
    <t>Prover recursos técnicos visando a estruturação ao empreendedorismo dos arquitetos e urbanistas</t>
  </si>
  <si>
    <t>Prover recursos técnicos visando opinar sobre matérias com impacto urbanista</t>
  </si>
  <si>
    <t>Intercambiar informações e atualizar as diretrizes de atuação no âmbito Estadual</t>
  </si>
  <si>
    <t>Promover evento que fomente a dignificação da Arquitetura por meio do intercâmbio de informações técnico-temático</t>
  </si>
  <si>
    <t>Construir parcerias e identificar temáticas que contribuam para a maturação do conteúdo de formação profissional</t>
  </si>
  <si>
    <t>Intensificar parcerias voltadas ao desenvolvimento da Arquitetura e Urbanismo</t>
  </si>
  <si>
    <t>Contribuir para estruturação e distribuição de recursos vinculadas a constituição de Fundo de Apoio.</t>
  </si>
  <si>
    <t>Prover recursos humanos e materiais para promover e disseminar a  missão, visão,  consolidando a marca CAU/BA</t>
  </si>
  <si>
    <t>Direcionar o profissional a um processo de educação, reciclagem e alteração de comportamento</t>
  </si>
  <si>
    <t>Disseminar e sensibilizar a assistência técnica pública e gratuita para o projeto e a construção de habitação de interesse social, como parte integrante do direito social à moradia previsto.</t>
  </si>
  <si>
    <t>Aperfeiçoar o atendimento aos públicos interno e externo e  aprimorar o relacionamento com a sociedade</t>
  </si>
  <si>
    <t>Reestruturação dos espaços e atividades</t>
  </si>
  <si>
    <t>Modernizar parque computacional do CAU/BA</t>
  </si>
  <si>
    <t>Dotar a Gerência de Fiscalização de sistemas que facilitem a gestão e a tomada de decisão no Plano de Fiscalização do CAU/BA</t>
  </si>
  <si>
    <t>Dotar a Gerência de Atendimento de sistemas que facilitem e agilizem o atendimento aos profissionais</t>
  </si>
  <si>
    <t>Implementar o Plano de Fiscalização Profissional no âmbito do Estado da Bahia</t>
  </si>
  <si>
    <t>Suportar eventuais ações estratégicas não contempladas no PA</t>
  </si>
  <si>
    <t>Melhoria das instalações e das distribuições das unidades internas e atividades funcionais</t>
  </si>
  <si>
    <t>Estruturar e organizar a realização do Concurso Público</t>
  </si>
  <si>
    <t>Planejar e gerenciar as ações  administrativas do CAU/BA, zelando pela contratação mais vantajosa para o Conselho.</t>
  </si>
  <si>
    <t xml:space="preserve">Possibilitar a aplicação de recursos em ações estratégicas de âmbito global, compreendendo a necessidade de transversalidade das ações das comissões, de modo a cumprir a função do CAU, de “orientar, disciplinar e fiscalizar o exercício da profissão de arquitetura e urbanismo, zelar pela fiel observância dos princípios de ética e disciplina da classe em todo o território nacional, bem como pugnar pelo aperfeiçoamento do exercício da arquitetura e urbanismo” </t>
  </si>
  <si>
    <t>Fortalecimento e sedimentação da missão e visão do sistema CAU em face da sociedade, profissionais, instituições públicas e privadas.</t>
  </si>
  <si>
    <t>Manter a continuidade dos serviços e atividades do CAU/BA; Assegurar o bom funcionamento, manter a organização e promover a estruturação necessária para garantia da eficácia dos serviços, desde o atendimento, fomento à valorização profissional e fiscalização.</t>
  </si>
  <si>
    <t xml:space="preserve">Melhorar quantitativamente e qualitativamente o atendimento prestado aos profissionais e empresas </t>
  </si>
  <si>
    <t>Contribuir para a maximização das ações de fiscalização com utilização de mecanismos inovadores para sua efetivação; Contribuir para a maximização das ações disciplinares éticas.</t>
  </si>
  <si>
    <t>Melhoria no gerenciamento do fluxo de pagamentos e contratações, com vistas a estruturar rotinas eficazes de gestão.</t>
  </si>
  <si>
    <t>Elevar o conhecimento dos colaboradores em normativos aplicáveis a autarquia CAU/BA, compartilhando informações e procedimentos</t>
  </si>
  <si>
    <t>Contribuir para a otimização e agilização dos processos administrativos ético-disciplinares no âmbito do CAU/BA</t>
  </si>
  <si>
    <t>Contribuir para a otimização e agilização dos procedimentos operacionais e administrativos no âmbito do CAU/BA.</t>
  </si>
  <si>
    <t>Contribuir para a efetivação da fiscalização, mediante análise comparativa de dados, cumprimento de diligências, participação da sociedade, com vistas a assegurar a melhoria do exercício profissional do Arquiteto e Urbanista.</t>
  </si>
  <si>
    <t>Contribuir para a otimização e agilização dos procedimentos de planejamento e de controle no âmbito do CAU/BA</t>
  </si>
  <si>
    <t>Contribuir para a otimização e agilização dos procedimentos internos no âmbito do CAU/BA vinculados ao ensino e formação.</t>
  </si>
  <si>
    <t>Contribuir para a disseminação da cultura empreendedora e organização da atividade profissional sob a perspectiva dos negócios</t>
  </si>
  <si>
    <t>Contribuir para a inserção da arquitetura nos planos gerais e parciais de urbanização ou reurbanização das cidades do estado da Bahia</t>
  </si>
  <si>
    <t>Prover recursos humanos e materiais visando a estruturação e organização das ações do Plenário do âmbito do CAU/BA</t>
  </si>
  <si>
    <t>Intensificar e aproximar O CAU/BA com seu público-alvo e a sociedade em geral, além de aprimorar a atuação profissional, por meio do fomento ao aperfeiçoamento profissional.</t>
  </si>
  <si>
    <t>Dotar o CAU/BA de rotina continuada de fomento e de valorização profissional</t>
  </si>
  <si>
    <t>Estruturar e solidificar parcerias estratégicas</t>
  </si>
  <si>
    <t>Participação na estruturação de organização sistêmica nacional</t>
  </si>
  <si>
    <t>Solidificar a imagem, a marca e a missão do CAU/BA enquanto instituição que busca promover a Arquitetura para todos, em defesa da sociedade</t>
  </si>
  <si>
    <t>Dotar o CAU/BA de rotina continuada de fomento e de valorização dos colaboradores</t>
  </si>
  <si>
    <t>Valorização e disseminação da cultura da Assistência Técnica</t>
  </si>
  <si>
    <t>Aperfeiçoar a qualidade do atendimento prestado aos públicos interno e externo.</t>
  </si>
  <si>
    <t>O redimensionamento dos espaços contribuirá para melhoria das atividades de fiscalização, de registro, cadastro, atendimento e funcionamento do CAU/BA</t>
  </si>
  <si>
    <t>Otimização e agilização dos procedimentos internos e redução no tempo de atendimento ao profissional Arquiteto e Urbanista</t>
  </si>
  <si>
    <t>Otimização e agilização dos procedimentos internos de fiscalização</t>
  </si>
  <si>
    <t xml:space="preserve">Melhoria na qualidade e na redução do tempo de atendimento </t>
  </si>
  <si>
    <t>Manter a continuidade Operacional do Plano de Fiscalização, visando maximização de suas ações.</t>
  </si>
  <si>
    <t>Possibilitar a aplicação de recursos em ações não contempladas no PA</t>
  </si>
  <si>
    <t>Dar conformidade e garantia ao processo de contratação de pessoal</t>
  </si>
  <si>
    <t>Melhoria no gerenciamento do fluxo de contratos, com vistas a estruturar rotinas eficazes de gestão.</t>
  </si>
  <si>
    <t>Melhoria do cumprimento das ativiades finalísticas da Autaquia, dirigidas aos profissionais, colaboradores e sociedade</t>
  </si>
  <si>
    <t>Fortalecer e sedimentar a missão do CAU/BA de “promover, em benefício da sociedade, a melhoria do exercício profissional da Arquitetura e Urbanismo, atuando com eficácia na orientação, disciplina, fiscalização e na disseminação do conhecimento”, fomentando as boas práticas profissionais e aproximando o CAU/BA do seu público-alvo e da sociedade em geral</t>
  </si>
  <si>
    <t>Mudança sede Defiitiva</t>
  </si>
  <si>
    <t>Assessoria de Comunicação</t>
  </si>
  <si>
    <t xml:space="preserve"> VALORES BENEFÍCIOS SOBRE A FOLHA DE PAGAMENTO: VALE TRANSPORTE: R$ 50.068,82 / PROGRAMA ALMENTAÇÃO DO TRABALHADOR: R$ 187.916,30 / PLANO DE SAÚDE: R$ 144.043,90</t>
  </si>
  <si>
    <t xml:space="preserve">Aquisição carro </t>
  </si>
  <si>
    <t>Proporcionar melhoria de infraestrutura que permita melhor desenvilvimento das atividades da fiscalização</t>
  </si>
  <si>
    <t>Fortalecer o cumprimento das atividades da fiscalização</t>
  </si>
  <si>
    <t>Eleiçoes</t>
  </si>
  <si>
    <t>Dar conformidade e garantia ao processo eleitoral</t>
  </si>
  <si>
    <t>Proporcionar melhoria de infraestrutura, agora de forma definitiva da sede, para readequar as instalações físicas em espaço com maior infraestrutura que permita melhor desenvolvimento das ativiades finalísticas da Autarquia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</si>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</sst>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3" formatCode="_-* #,##0.00_-;\-* #,##0.00_-;_-* \-_-;_-@_-"/>
    <numFmt numFmtId="174" formatCode="_(* #,##0.0000_);_(* \(#,##0.0000\);_(* &quot;-&quot;??_);_(@_)"/>
    <numFmt numFmtId="175" formatCode="_(* #,##0.00000_);_(* \(#,##0.00000\);_(* &quot;-&quot;??_);_(@_)"/>
    <numFmt numFmtId="176" formatCode="_(* #,##0.000000_);_(* \(#,##0.000000\);_(* &quot;-&quot;??_);_(@_)"/>
    <numFmt numFmtId="177" formatCode="_(* #,##0.0000000_);_(* \(#,##0.0000000\);_(* &quot;-&quot;??_);_(@_)"/>
    <numFmt numFmtId="178" formatCode="_(* #,##0.000000000_);_(* \(#,##0.000000000\);_(* &quot;-&quot;??_);_(@_)"/>
    <numFmt numFmtId="179" formatCode="_(* #,##0.00000000000000000_);_(* \(#,##0.00000000000000000\);_(* &quot;-&quot;??_);_(@_)"/>
    <numFmt numFmtId="180" formatCode="_(* #,##0.0000000000000000000_);_(* \(#,##0.0000000000000000000\);_(* &quot;-&quot;??_);_(@_)"/>
    <numFmt numFmtId="181" formatCode="_(* #,##0.000000000000000000000000_);_(* \(#,##0.000000000000000000000000\);_(* &quot;-&quot;??_);_(@_)"/>
    <numFmt numFmtId="182" formatCode="_-* #,##0.00000000000000000_-;\-* #,##0.00000000000000000_-;_-* &quot;-&quot;?????????????????_-;_-@_-"/>
    <numFmt numFmtId="183" formatCode="_-* #,##0.00000000000_-;\-* #,##0.00000000000_-;_-* &quot;-&quot;???????????_-;_-@_-"/>
    <numFmt numFmtId="184" formatCode="0.000%"/>
    <numFmt numFmtId="185" formatCode="_(* #,##0.000000000000_);_(* \(#,##0.000000000000\);_(* &quot;-&quot;??_);_(@_)"/>
    <numFmt numFmtId="186" formatCode="_(* #,##0.00000000000000_);_(* \(#,##0.00000000000000\);_(* &quot;-&quot;??_);_(@_)"/>
    <numFmt numFmtId="187" formatCode="_-* #,##0.0000000000000000000_-;\-* #,##0.0000000000000000000_-;_-* &quot;-&quot;??_-;_-@_-"/>
    <numFmt numFmtId="188" formatCode="_-* #,##0.000000000000000000_-;\-* #,##0.000000000000000000_-;_-* &quot;-&quot;?????????????????_-;_-@_-"/>
    <numFmt numFmtId="189" formatCode="_-* #,##0.00000000000000000000000_-;\-* #,##0.00000000000000000000000_-;_-* &quot;-&quot;?????????????????_-;_-@_-"/>
    <numFmt numFmtId="190" formatCode="_-* #,##0.00000000000000000000_-;\-* #,##0.00000000000000000000_-;_-* &quot;-&quot;????????????????????_-;_-@_-"/>
    <numFmt numFmtId="191" formatCode="_-* #,##0.00000000000000000000000_-;\-* #,##0.00000000000000000000000_-;_-* &quot;-&quot;????????????????????_-;_-@_-"/>
    <numFmt numFmtId="192" formatCode="0E+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20"/>
      <name val="Calibri"/>
      <family val="2"/>
      <scheme val="minor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20"/>
      <color theme="1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 Narrow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2"/>
      <color rgb="FF00687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12"/>
      <color rgb="FF0061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b/>
      <i/>
      <sz val="12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4"/>
      <color indexed="81"/>
      <name val="Calibri"/>
      <family val="2"/>
      <scheme val="minor"/>
    </font>
    <font>
      <sz val="14"/>
      <color indexed="81"/>
      <name val="Calibri"/>
      <family val="2"/>
      <scheme val="minor"/>
    </font>
    <font>
      <sz val="12"/>
      <name val="Calibri"/>
      <family val="2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2A5664"/>
        <bgColor indexed="64"/>
      </patternFill>
    </fill>
    <fill>
      <patternFill patternType="solid">
        <fgColor rgb="FF530053"/>
        <bgColor indexed="64"/>
      </patternFill>
    </fill>
    <fill>
      <patternFill patternType="solid">
        <fgColor rgb="FFFF690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FA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8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171" fontId="19" fillId="0" borderId="0" applyBorder="0" applyProtection="0"/>
    <xf numFmtId="164" fontId="1" fillId="0" borderId="0" applyFont="0" applyFill="0" applyBorder="0" applyAlignment="0" applyProtection="0"/>
    <xf numFmtId="0" fontId="1" fillId="0" borderId="0"/>
  </cellStyleXfs>
  <cellXfs count="39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2" borderId="0" xfId="0" applyFill="1"/>
    <xf numFmtId="0" fontId="0" fillId="0" borderId="0" xfId="0"/>
    <xf numFmtId="0" fontId="17" fillId="2" borderId="0" xfId="0" applyFont="1" applyFill="1" applyAlignment="1">
      <alignment vertical="center" wrapText="1"/>
    </xf>
    <xf numFmtId="0" fontId="4" fillId="0" borderId="0" xfId="0" applyFont="1"/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 applyBorder="1"/>
    <xf numFmtId="0" fontId="24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164" fontId="4" fillId="2" borderId="1" xfId="4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4" applyFont="1" applyFill="1" applyBorder="1" applyAlignment="1" applyProtection="1">
      <alignment vertical="center"/>
      <protection locked="0"/>
    </xf>
    <xf numFmtId="164" fontId="3" fillId="2" borderId="1" xfId="4" applyFont="1" applyFill="1" applyBorder="1" applyAlignment="1" applyProtection="1">
      <alignment vertical="center"/>
      <protection locked="0"/>
    </xf>
    <xf numFmtId="164" fontId="3" fillId="2" borderId="1" xfId="4" applyFont="1" applyFill="1" applyBorder="1" applyAlignment="1" applyProtection="1">
      <alignment vertical="center" wrapText="1"/>
      <protection locked="0"/>
    </xf>
    <xf numFmtId="169" fontId="3" fillId="3" borderId="1" xfId="4" applyNumberFormat="1" applyFont="1" applyFill="1" applyBorder="1" applyAlignment="1" applyProtection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8" fillId="0" borderId="0" xfId="0" applyFont="1" applyProtection="1">
      <protection locked="0"/>
    </xf>
    <xf numFmtId="0" fontId="18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6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24" fillId="0" borderId="28" xfId="0" applyFont="1" applyBorder="1" applyAlignment="1" applyProtection="1">
      <alignment horizontal="center" wrapText="1"/>
      <protection locked="0"/>
    </xf>
    <xf numFmtId="0" fontId="24" fillId="0" borderId="28" xfId="0" applyFont="1" applyBorder="1" applyAlignment="1" applyProtection="1">
      <alignment horizontal="center" vertical="top" wrapText="1"/>
      <protection locked="0"/>
    </xf>
    <xf numFmtId="0" fontId="26" fillId="2" borderId="5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24" fillId="0" borderId="1" xfId="0" applyFont="1" applyBorder="1" applyAlignment="1" applyProtection="1">
      <alignment horizontal="center" wrapText="1"/>
      <protection locked="0"/>
    </xf>
    <xf numFmtId="0" fontId="24" fillId="0" borderId="1" xfId="0" applyFont="1" applyBorder="1" applyAlignment="1" applyProtection="1">
      <alignment horizontal="center" vertical="top" wrapText="1"/>
      <protection locked="0"/>
    </xf>
    <xf numFmtId="0" fontId="24" fillId="2" borderId="1" xfId="0" applyFont="1" applyFill="1" applyBorder="1" applyAlignment="1" applyProtection="1">
      <alignment horizontal="center" wrapText="1"/>
      <protection locked="0"/>
    </xf>
    <xf numFmtId="0" fontId="2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1" fontId="24" fillId="2" borderId="1" xfId="3" applyNumberFormat="1" applyFont="1" applyFill="1" applyBorder="1" applyAlignment="1" applyProtection="1">
      <alignment horizontal="center" vertical="center"/>
      <protection locked="0"/>
    </xf>
    <xf numFmtId="1" fontId="2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1" fontId="24" fillId="2" borderId="1" xfId="4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4" applyNumberFormat="1" applyFont="1" applyBorder="1" applyAlignment="1" applyProtection="1">
      <alignment horizontal="center" vertical="center" wrapText="1"/>
      <protection locked="0"/>
    </xf>
    <xf numFmtId="0" fontId="24" fillId="8" borderId="1" xfId="5" applyFont="1" applyFill="1" applyBorder="1" applyAlignment="1" applyProtection="1">
      <alignment horizontal="center" wrapText="1"/>
      <protection locked="0"/>
    </xf>
    <xf numFmtId="0" fontId="24" fillId="8" borderId="1" xfId="5" applyFont="1" applyFill="1" applyBorder="1" applyAlignment="1" applyProtection="1">
      <alignment horizontal="center" vertical="top" wrapText="1"/>
      <protection locked="0"/>
    </xf>
    <xf numFmtId="0" fontId="24" fillId="2" borderId="1" xfId="5" applyFont="1" applyFill="1" applyBorder="1" applyAlignment="1" applyProtection="1">
      <alignment horizontal="center" wrapText="1"/>
      <protection locked="0"/>
    </xf>
    <xf numFmtId="0" fontId="24" fillId="2" borderId="1" xfId="5" applyFont="1" applyFill="1" applyBorder="1" applyAlignment="1" applyProtection="1">
      <alignment horizontal="center" vertical="top" wrapText="1"/>
      <protection locked="0"/>
    </xf>
    <xf numFmtId="3" fontId="24" fillId="2" borderId="1" xfId="4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4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6" fillId="11" borderId="33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0" xfId="0" applyFont="1" applyFill="1" applyProtection="1"/>
    <xf numFmtId="0" fontId="23" fillId="2" borderId="0" xfId="0" applyFont="1" applyFill="1" applyBorder="1" applyAlignment="1" applyProtection="1">
      <alignment horizontal="center" vertical="center" wrapText="1"/>
    </xf>
    <xf numFmtId="1" fontId="24" fillId="2" borderId="0" xfId="3" applyNumberFormat="1" applyFont="1" applyFill="1" applyBorder="1" applyAlignment="1" applyProtection="1">
      <alignment horizontal="center" vertical="center" wrapText="1"/>
    </xf>
    <xf numFmtId="1" fontId="24" fillId="2" borderId="0" xfId="4" applyNumberFormat="1" applyFont="1" applyFill="1" applyBorder="1" applyAlignment="1" applyProtection="1">
      <alignment horizontal="center" vertical="center" wrapText="1"/>
    </xf>
    <xf numFmtId="3" fontId="24" fillId="2" borderId="0" xfId="4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/>
      <protection locked="0"/>
    </xf>
    <xf numFmtId="164" fontId="4" fillId="3" borderId="1" xfId="4" applyFont="1" applyFill="1" applyBorder="1" applyAlignment="1" applyProtection="1">
      <alignment vertical="center" wrapText="1"/>
    </xf>
    <xf numFmtId="169" fontId="4" fillId="3" borderId="1" xfId="4" applyNumberFormat="1" applyFont="1" applyFill="1" applyBorder="1" applyAlignment="1" applyProtection="1">
      <alignment vertical="center" wrapText="1"/>
    </xf>
    <xf numFmtId="164" fontId="3" fillId="3" borderId="1" xfId="4" applyFont="1" applyFill="1" applyBorder="1" applyAlignment="1" applyProtection="1">
      <alignment vertical="center" wrapText="1"/>
    </xf>
    <xf numFmtId="169" fontId="3" fillId="3" borderId="1" xfId="4" applyNumberFormat="1" applyFont="1" applyFill="1" applyBorder="1" applyAlignment="1" applyProtection="1">
      <alignment vertical="center" wrapText="1"/>
    </xf>
    <xf numFmtId="164" fontId="3" fillId="3" borderId="1" xfId="4" applyFont="1" applyFill="1" applyBorder="1" applyAlignment="1" applyProtection="1">
      <alignment vertical="center"/>
    </xf>
    <xf numFmtId="164" fontId="3" fillId="2" borderId="1" xfId="4" applyFont="1" applyFill="1" applyBorder="1" applyAlignment="1" applyProtection="1">
      <alignment vertical="center" wrapText="1"/>
    </xf>
    <xf numFmtId="164" fontId="3" fillId="5" borderId="1" xfId="4" applyFont="1" applyFill="1" applyBorder="1" applyAlignment="1" applyProtection="1">
      <alignment vertical="center" wrapText="1"/>
    </xf>
    <xf numFmtId="169" fontId="3" fillId="5" borderId="1" xfId="4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64" fontId="30" fillId="0" borderId="1" xfId="4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164" fontId="24" fillId="0" borderId="0" xfId="4" applyFont="1" applyAlignment="1" applyProtection="1">
      <alignment horizontal="center" vertical="center"/>
      <protection locked="0"/>
    </xf>
    <xf numFmtId="164" fontId="24" fillId="0" borderId="0" xfId="4" applyFont="1" applyAlignment="1" applyProtection="1">
      <alignment horizontal="center" vertical="center" wrapText="1"/>
      <protection locked="0"/>
    </xf>
    <xf numFmtId="164" fontId="23" fillId="2" borderId="0" xfId="4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Protection="1">
      <protection locked="0"/>
    </xf>
    <xf numFmtId="41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3" fillId="2" borderId="0" xfId="4" applyNumberFormat="1" applyFont="1" applyFill="1" applyBorder="1" applyAlignment="1" applyProtection="1">
      <alignment vertical="center" wrapText="1"/>
      <protection locked="0"/>
    </xf>
    <xf numFmtId="164" fontId="3" fillId="2" borderId="0" xfId="4" applyFont="1" applyFill="1" applyBorder="1" applyAlignment="1" applyProtection="1">
      <alignment horizontal="left" vertical="center" wrapText="1"/>
      <protection locked="0"/>
    </xf>
    <xf numFmtId="41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vertical="center" wrapText="1" readingOrder="1"/>
      <protection locked="0"/>
    </xf>
    <xf numFmtId="0" fontId="3" fillId="2" borderId="0" xfId="0" applyFont="1" applyFill="1" applyBorder="1" applyAlignment="1" applyProtection="1">
      <alignment horizontal="center" vertical="center" textRotation="90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167" fontId="3" fillId="2" borderId="0" xfId="4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 readingOrder="1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protection locked="0"/>
    </xf>
    <xf numFmtId="0" fontId="44" fillId="0" borderId="0" xfId="1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164" fontId="45" fillId="2" borderId="0" xfId="0" applyNumberFormat="1" applyFont="1" applyFill="1" applyBorder="1" applyAlignment="1" applyProtection="1">
      <alignment horizontal="right" wrapText="1"/>
      <protection locked="0"/>
    </xf>
    <xf numFmtId="0" fontId="46" fillId="0" borderId="0" xfId="0" applyFont="1" applyAlignment="1" applyProtection="1">
      <alignment vertical="center"/>
      <protection locked="0"/>
    </xf>
    <xf numFmtId="0" fontId="44" fillId="0" borderId="0" xfId="1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164" fontId="45" fillId="0" borderId="1" xfId="4" applyNumberFormat="1" applyFont="1" applyFill="1" applyBorder="1" applyAlignment="1" applyProtection="1">
      <alignment horizontal="right" vertical="center" wrapText="1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41" fontId="45" fillId="0" borderId="1" xfId="4" applyNumberFormat="1" applyFont="1" applyFill="1" applyBorder="1" applyAlignment="1" applyProtection="1">
      <alignment horizontal="right" vertical="center" wrapText="1"/>
      <protection locked="0"/>
    </xf>
    <xf numFmtId="37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6" fillId="0" borderId="0" xfId="0" applyFont="1" applyProtection="1">
      <protection locked="0"/>
    </xf>
    <xf numFmtId="0" fontId="32" fillId="0" borderId="0" xfId="0" applyFont="1" applyBorder="1" applyAlignment="1" applyProtection="1">
      <protection locked="0"/>
    </xf>
    <xf numFmtId="0" fontId="22" fillId="0" borderId="0" xfId="0" applyFont="1" applyProtection="1">
      <protection locked="0"/>
    </xf>
    <xf numFmtId="0" fontId="45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4" fontId="45" fillId="3" borderId="1" xfId="4" applyNumberFormat="1" applyFont="1" applyFill="1" applyBorder="1" applyAlignment="1" applyProtection="1">
      <alignment horizontal="right" vertical="center" wrapText="1"/>
    </xf>
    <xf numFmtId="164" fontId="45" fillId="4" borderId="1" xfId="4" applyNumberFormat="1" applyFont="1" applyFill="1" applyBorder="1" applyAlignment="1" applyProtection="1">
      <alignment horizontal="right" vertical="center" wrapText="1"/>
    </xf>
    <xf numFmtId="169" fontId="45" fillId="4" borderId="1" xfId="4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/>
    <xf numFmtId="41" fontId="3" fillId="2" borderId="0" xfId="0" applyNumberFormat="1" applyFont="1" applyFill="1" applyBorder="1" applyAlignment="1" applyProtection="1">
      <alignment horizontal="center" vertical="center" wrapText="1"/>
    </xf>
    <xf numFmtId="41" fontId="3" fillId="2" borderId="1" xfId="0" applyNumberFormat="1" applyFont="1" applyFill="1" applyBorder="1" applyAlignment="1" applyProtection="1">
      <alignment horizontal="center" vertical="center" wrapText="1"/>
    </xf>
    <xf numFmtId="169" fontId="3" fillId="3" borderId="1" xfId="4" applyNumberFormat="1" applyFont="1" applyFill="1" applyBorder="1" applyAlignment="1" applyProtection="1">
      <alignment horizontal="right" vertical="center" wrapText="1"/>
    </xf>
    <xf numFmtId="166" fontId="3" fillId="3" borderId="1" xfId="4" applyNumberFormat="1" applyFont="1" applyFill="1" applyBorder="1" applyAlignment="1" applyProtection="1">
      <alignment horizontal="right" vertical="center" wrapText="1"/>
    </xf>
    <xf numFmtId="164" fontId="23" fillId="2" borderId="0" xfId="0" applyNumberFormat="1" applyFont="1" applyFill="1" applyBorder="1" applyAlignment="1" applyProtection="1">
      <alignment horizontal="right" vertical="center" wrapText="1"/>
    </xf>
    <xf numFmtId="166" fontId="23" fillId="2" borderId="0" xfId="4" applyNumberFormat="1" applyFont="1" applyFill="1" applyBorder="1" applyAlignment="1" applyProtection="1">
      <alignment horizontal="right" vertical="center" wrapText="1"/>
    </xf>
    <xf numFmtId="166" fontId="3" fillId="3" borderId="1" xfId="3" applyNumberFormat="1" applyFont="1" applyFill="1" applyBorder="1" applyAlignment="1" applyProtection="1">
      <alignment horizontal="right" vertical="center" wrapText="1"/>
    </xf>
    <xf numFmtId="166" fontId="23" fillId="2" borderId="0" xfId="3" applyNumberFormat="1" applyFont="1" applyFill="1" applyBorder="1" applyAlignment="1" applyProtection="1">
      <alignment horizontal="right" vertical="center" wrapText="1"/>
    </xf>
    <xf numFmtId="169" fontId="3" fillId="2" borderId="1" xfId="4" applyNumberFormat="1" applyFont="1" applyFill="1" applyBorder="1" applyAlignment="1" applyProtection="1">
      <alignment vertical="center" wrapText="1"/>
    </xf>
    <xf numFmtId="0" fontId="24" fillId="0" borderId="0" xfId="0" applyFont="1" applyAlignment="1" applyProtection="1">
      <alignment horizontal="center" vertical="center"/>
    </xf>
    <xf numFmtId="164" fontId="24" fillId="0" borderId="0" xfId="4" applyFont="1" applyAlignment="1" applyProtection="1">
      <alignment horizontal="center" vertical="center"/>
    </xf>
    <xf numFmtId="43" fontId="24" fillId="0" borderId="0" xfId="0" applyNumberFormat="1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3" fillId="2" borderId="0" xfId="0" applyFont="1" applyFill="1" applyBorder="1" applyAlignment="1" applyProtection="1">
      <alignment horizontal="left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</xf>
    <xf numFmtId="0" fontId="23" fillId="2" borderId="0" xfId="0" applyFont="1" applyFill="1" applyAlignment="1" applyProtection="1">
      <alignment vertical="center" wrapText="1"/>
      <protection locked="0"/>
    </xf>
    <xf numFmtId="166" fontId="30" fillId="0" borderId="1" xfId="3" applyNumberFormat="1" applyFont="1" applyBorder="1" applyAlignment="1" applyProtection="1">
      <alignment horizontal="right" vertical="center" wrapText="1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18" fillId="12" borderId="0" xfId="0" applyFont="1" applyFill="1" applyProtection="1">
      <protection locked="0"/>
    </xf>
    <xf numFmtId="0" fontId="26" fillId="13" borderId="14" xfId="0" applyFont="1" applyFill="1" applyBorder="1" applyAlignment="1" applyProtection="1">
      <alignment horizontal="left" vertical="center" wrapText="1"/>
      <protection locked="0"/>
    </xf>
    <xf numFmtId="0" fontId="26" fillId="13" borderId="17" xfId="0" applyFont="1" applyFill="1" applyBorder="1" applyAlignment="1" applyProtection="1">
      <alignment horizontal="center" vertical="center" wrapText="1"/>
      <protection locked="0"/>
    </xf>
    <xf numFmtId="0" fontId="26" fillId="13" borderId="26" xfId="0" applyFont="1" applyFill="1" applyBorder="1" applyAlignment="1" applyProtection="1">
      <alignment horizontal="center" vertical="center" wrapText="1"/>
      <protection locked="0"/>
    </xf>
    <xf numFmtId="0" fontId="26" fillId="13" borderId="1" xfId="0" applyFont="1" applyFill="1" applyBorder="1" applyAlignment="1" applyProtection="1">
      <alignment horizontal="left" vertical="center" wrapText="1"/>
      <protection locked="0"/>
    </xf>
    <xf numFmtId="0" fontId="26" fillId="13" borderId="1" xfId="0" applyFont="1" applyFill="1" applyBorder="1" applyAlignment="1" applyProtection="1">
      <alignment horizontal="center" vertical="center" wrapText="1"/>
      <protection locked="0"/>
    </xf>
    <xf numFmtId="0" fontId="18" fillId="13" borderId="0" xfId="0" applyFont="1" applyFill="1" applyProtection="1">
      <protection locked="0"/>
    </xf>
    <xf numFmtId="0" fontId="26" fillId="13" borderId="1" xfId="0" applyFont="1" applyFill="1" applyBorder="1" applyAlignment="1" applyProtection="1">
      <alignment horizontal="center" vertical="center" wrapText="1"/>
    </xf>
    <xf numFmtId="164" fontId="26" fillId="13" borderId="8" xfId="4" applyNumberFormat="1" applyFont="1" applyFill="1" applyBorder="1" applyAlignment="1" applyProtection="1">
      <alignment vertical="center" wrapText="1"/>
    </xf>
    <xf numFmtId="41" fontId="26" fillId="13" borderId="1" xfId="0" applyNumberFormat="1" applyFont="1" applyFill="1" applyBorder="1" applyAlignment="1" applyProtection="1">
      <alignment horizontal="center" vertical="center" wrapText="1"/>
    </xf>
    <xf numFmtId="165" fontId="26" fillId="13" borderId="1" xfId="0" applyNumberFormat="1" applyFont="1" applyFill="1" applyBorder="1" applyAlignment="1" applyProtection="1">
      <alignment horizontal="center" vertical="center" wrapText="1"/>
    </xf>
    <xf numFmtId="41" fontId="23" fillId="13" borderId="1" xfId="0" applyNumberFormat="1" applyFont="1" applyFill="1" applyBorder="1" applyAlignment="1" applyProtection="1">
      <alignment vertical="center" wrapText="1"/>
    </xf>
    <xf numFmtId="165" fontId="23" fillId="13" borderId="1" xfId="0" applyNumberFormat="1" applyFont="1" applyFill="1" applyBorder="1" applyAlignment="1" applyProtection="1">
      <alignment vertical="center" wrapText="1"/>
    </xf>
    <xf numFmtId="164" fontId="23" fillId="13" borderId="1" xfId="4" applyFont="1" applyFill="1" applyBorder="1" applyAlignment="1" applyProtection="1">
      <alignment vertical="center" wrapText="1"/>
    </xf>
    <xf numFmtId="169" fontId="23" fillId="13" borderId="1" xfId="4" applyNumberFormat="1" applyFont="1" applyFill="1" applyBorder="1" applyAlignment="1" applyProtection="1">
      <alignment vertical="center" wrapText="1"/>
    </xf>
    <xf numFmtId="0" fontId="34" fillId="13" borderId="1" xfId="0" applyFont="1" applyFill="1" applyBorder="1" applyAlignment="1" applyProtection="1">
      <alignment vertical="center" wrapText="1"/>
    </xf>
    <xf numFmtId="0" fontId="34" fillId="13" borderId="1" xfId="0" applyFont="1" applyFill="1" applyBorder="1" applyAlignment="1" applyProtection="1">
      <alignment horizontal="center" vertical="center" wrapText="1"/>
    </xf>
    <xf numFmtId="0" fontId="34" fillId="13" borderId="1" xfId="0" applyFont="1" applyFill="1" applyBorder="1" applyAlignment="1" applyProtection="1">
      <alignment vertical="center"/>
    </xf>
    <xf numFmtId="164" fontId="34" fillId="13" borderId="1" xfId="4" applyFont="1" applyFill="1" applyBorder="1" applyAlignment="1" applyProtection="1">
      <alignment vertical="center"/>
    </xf>
    <xf numFmtId="0" fontId="34" fillId="13" borderId="1" xfId="0" applyFont="1" applyFill="1" applyBorder="1" applyAlignment="1" applyProtection="1">
      <alignment horizontal="left" vertical="center" wrapText="1"/>
    </xf>
    <xf numFmtId="164" fontId="34" fillId="13" borderId="1" xfId="4" applyFont="1" applyFill="1" applyBorder="1" applyAlignment="1" applyProtection="1">
      <alignment horizontal="center" vertical="center" wrapText="1"/>
    </xf>
    <xf numFmtId="0" fontId="34" fillId="13" borderId="1" xfId="0" applyFont="1" applyFill="1" applyBorder="1" applyAlignment="1" applyProtection="1">
      <alignment horizontal="center" vertical="center" wrapText="1"/>
      <protection locked="0"/>
    </xf>
    <xf numFmtId="164" fontId="26" fillId="13" borderId="1" xfId="4" applyNumberFormat="1" applyFont="1" applyFill="1" applyBorder="1" applyAlignment="1" applyProtection="1">
      <alignment horizontal="left" vertical="center" wrapText="1"/>
    </xf>
    <xf numFmtId="169" fontId="26" fillId="13" borderId="1" xfId="4" applyNumberFormat="1" applyFont="1" applyFill="1" applyBorder="1" applyAlignment="1" applyProtection="1">
      <alignment horizontal="left" vertical="center" wrapText="1"/>
    </xf>
    <xf numFmtId="0" fontId="23" fillId="14" borderId="0" xfId="0" applyFont="1" applyFill="1" applyAlignment="1" applyProtection="1">
      <alignment vertical="center"/>
      <protection locked="0"/>
    </xf>
    <xf numFmtId="0" fontId="24" fillId="14" borderId="0" xfId="0" applyFont="1" applyFill="1" applyAlignment="1" applyProtection="1">
      <alignment vertical="center"/>
      <protection locked="0"/>
    </xf>
    <xf numFmtId="0" fontId="24" fillId="14" borderId="0" xfId="1" applyFont="1" applyFill="1" applyAlignment="1" applyProtection="1">
      <alignment vertical="center"/>
      <protection locked="0"/>
    </xf>
    <xf numFmtId="0" fontId="15" fillId="14" borderId="0" xfId="2" applyFont="1" applyFill="1" applyAlignment="1" applyProtection="1">
      <alignment vertical="center"/>
      <protection locked="0"/>
    </xf>
    <xf numFmtId="0" fontId="15" fillId="14" borderId="0" xfId="0" applyFont="1" applyFill="1" applyAlignment="1" applyProtection="1">
      <alignment vertical="center"/>
      <protection locked="0"/>
    </xf>
    <xf numFmtId="0" fontId="28" fillId="13" borderId="1" xfId="0" applyFont="1" applyFill="1" applyBorder="1" applyAlignment="1" applyProtection="1">
      <alignment horizontal="center" vertical="center" wrapText="1"/>
      <protection locked="0"/>
    </xf>
    <xf numFmtId="164" fontId="26" fillId="13" borderId="1" xfId="4" applyNumberFormat="1" applyFont="1" applyFill="1" applyBorder="1" applyAlignment="1" applyProtection="1">
      <alignment horizontal="right" vertical="center" wrapText="1"/>
    </xf>
    <xf numFmtId="169" fontId="26" fillId="13" borderId="1" xfId="4" applyNumberFormat="1" applyFont="1" applyFill="1" applyBorder="1" applyAlignment="1" applyProtection="1">
      <alignment horizontal="right" vertical="center" wrapText="1"/>
    </xf>
    <xf numFmtId="0" fontId="31" fillId="13" borderId="4" xfId="0" applyFont="1" applyFill="1" applyBorder="1" applyAlignment="1" applyProtection="1">
      <alignment horizontal="center" vertical="center" wrapText="1"/>
      <protection locked="0"/>
    </xf>
    <xf numFmtId="164" fontId="30" fillId="5" borderId="1" xfId="4" applyFont="1" applyFill="1" applyBorder="1" applyAlignment="1" applyProtection="1">
      <alignment horizontal="right" vertical="center" wrapText="1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Protection="1">
      <protection locked="0"/>
    </xf>
    <xf numFmtId="0" fontId="47" fillId="2" borderId="15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41" fontId="3" fillId="16" borderId="1" xfId="0" applyNumberFormat="1" applyFont="1" applyFill="1" applyBorder="1" applyAlignment="1" applyProtection="1">
      <alignment horizontal="center" vertical="center" wrapText="1"/>
    </xf>
    <xf numFmtId="41" fontId="3" fillId="15" borderId="1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4" applyNumberFormat="1" applyFont="1" applyFill="1" applyBorder="1" applyAlignment="1" applyProtection="1">
      <alignment horizontal="right" vertical="center" wrapText="1"/>
    </xf>
    <xf numFmtId="164" fontId="3" fillId="2" borderId="1" xfId="4" applyNumberFormat="1" applyFont="1" applyFill="1" applyBorder="1" applyAlignment="1" applyProtection="1">
      <alignment horizontal="left" vertical="center" wrapText="1"/>
    </xf>
    <xf numFmtId="169" fontId="3" fillId="17" borderId="1" xfId="4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3" fontId="46" fillId="0" borderId="0" xfId="0" applyNumberFormat="1" applyFont="1" applyProtection="1">
      <protection locked="0"/>
    </xf>
    <xf numFmtId="43" fontId="3" fillId="0" borderId="0" xfId="0" applyNumberFormat="1" applyFont="1" applyAlignment="1" applyProtection="1">
      <alignment vertical="center"/>
      <protection locked="0"/>
    </xf>
    <xf numFmtId="166" fontId="24" fillId="2" borderId="0" xfId="3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2" borderId="0" xfId="0" applyFont="1" applyFill="1"/>
    <xf numFmtId="0" fontId="26" fillId="11" borderId="17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4" applyNumberFormat="1" applyFont="1" applyFill="1" applyBorder="1" applyAlignment="1" applyProtection="1">
      <alignment horizontal="center" vertical="center" wrapText="1"/>
      <protection locked="0"/>
    </xf>
    <xf numFmtId="166" fontId="24" fillId="2" borderId="0" xfId="3" applyNumberFormat="1" applyFont="1" applyFill="1" applyBorder="1" applyAlignment="1" applyProtection="1">
      <alignment vertical="center" wrapText="1"/>
    </xf>
    <xf numFmtId="173" fontId="54" fillId="18" borderId="1" xfId="0" applyNumberFormat="1" applyFont="1" applyFill="1" applyBorder="1" applyAlignment="1">
      <alignment vertical="center" wrapText="1"/>
    </xf>
    <xf numFmtId="0" fontId="35" fillId="10" borderId="16" xfId="0" applyFont="1" applyFill="1" applyBorder="1" applyAlignment="1" applyProtection="1">
      <alignment vertical="center" wrapText="1"/>
      <protection locked="0"/>
    </xf>
    <xf numFmtId="0" fontId="35" fillId="10" borderId="0" xfId="0" applyFont="1" applyFill="1" applyBorder="1" applyAlignment="1" applyProtection="1">
      <alignment vertical="center" wrapText="1"/>
      <protection locked="0"/>
    </xf>
    <xf numFmtId="164" fontId="23" fillId="0" borderId="0" xfId="4" applyFont="1" applyAlignment="1" applyProtection="1">
      <alignment horizontal="center" vertical="center"/>
    </xf>
    <xf numFmtId="0" fontId="53" fillId="0" borderId="0" xfId="0" applyFont="1" applyFill="1" applyAlignment="1" applyProtection="1">
      <alignment vertical="center" wrapText="1"/>
      <protection locked="0"/>
    </xf>
    <xf numFmtId="181" fontId="55" fillId="2" borderId="1" xfId="4" applyNumberFormat="1" applyFont="1" applyFill="1" applyBorder="1" applyAlignment="1" applyProtection="1">
      <alignment vertical="center" wrapText="1"/>
    </xf>
    <xf numFmtId="179" fontId="55" fillId="2" borderId="1" xfId="4" applyNumberFormat="1" applyFont="1" applyFill="1" applyBorder="1" applyAlignment="1" applyProtection="1">
      <alignment vertical="center" wrapText="1"/>
    </xf>
    <xf numFmtId="180" fontId="55" fillId="2" borderId="1" xfId="4" applyNumberFormat="1" applyFont="1" applyFill="1" applyBorder="1" applyAlignment="1" applyProtection="1">
      <alignment vertical="center" wrapText="1"/>
    </xf>
    <xf numFmtId="43" fontId="24" fillId="0" borderId="0" xfId="0" applyNumberFormat="1" applyFont="1" applyAlignment="1" applyProtection="1">
      <alignment horizontal="center" vertical="center"/>
      <protection locked="0"/>
    </xf>
    <xf numFmtId="178" fontId="24" fillId="0" borderId="0" xfId="4" applyNumberFormat="1" applyFont="1" applyAlignment="1" applyProtection="1">
      <alignment horizontal="center" vertical="center"/>
      <protection locked="0"/>
    </xf>
    <xf numFmtId="182" fontId="4" fillId="0" borderId="0" xfId="0" applyNumberFormat="1" applyFont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 wrapText="1"/>
      <protection locked="0"/>
    </xf>
    <xf numFmtId="164" fontId="3" fillId="3" borderId="1" xfId="4" applyNumberFormat="1" applyFont="1" applyFill="1" applyBorder="1" applyAlignment="1" applyProtection="1">
      <alignment vertical="center" wrapText="1"/>
    </xf>
    <xf numFmtId="0" fontId="52" fillId="2" borderId="0" xfId="0" applyFont="1" applyFill="1" applyAlignment="1" applyProtection="1">
      <alignment vertical="center"/>
      <protection locked="0"/>
    </xf>
    <xf numFmtId="0" fontId="53" fillId="2" borderId="0" xfId="0" applyFont="1" applyFill="1" applyAlignment="1" applyProtection="1">
      <alignment vertical="center" wrapText="1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31" fillId="2" borderId="0" xfId="0" applyFont="1" applyFill="1" applyAlignment="1" applyProtection="1">
      <alignment vertical="center" wrapText="1"/>
      <protection locked="0"/>
    </xf>
    <xf numFmtId="164" fontId="24" fillId="0" borderId="0" xfId="4" applyNumberFormat="1" applyFont="1" applyAlignment="1" applyProtection="1">
      <alignment horizontal="center" vertical="center"/>
    </xf>
    <xf numFmtId="183" fontId="24" fillId="2" borderId="0" xfId="0" applyNumberFormat="1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174" fontId="26" fillId="13" borderId="1" xfId="4" applyNumberFormat="1" applyFont="1" applyFill="1" applyBorder="1" applyAlignment="1" applyProtection="1">
      <alignment horizontal="right" vertical="center" wrapText="1"/>
    </xf>
    <xf numFmtId="175" fontId="45" fillId="0" borderId="1" xfId="4" applyNumberFormat="1" applyFont="1" applyFill="1" applyBorder="1" applyAlignment="1" applyProtection="1">
      <alignment horizontal="right" vertical="center" wrapText="1"/>
      <protection locked="0"/>
    </xf>
    <xf numFmtId="177" fontId="45" fillId="0" borderId="1" xfId="4" applyNumberFormat="1" applyFont="1" applyFill="1" applyBorder="1" applyAlignment="1" applyProtection="1">
      <alignment horizontal="right" vertical="center" wrapText="1"/>
      <protection locked="0"/>
    </xf>
    <xf numFmtId="176" fontId="45" fillId="3" borderId="1" xfId="4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/>
      <protection locked="0"/>
    </xf>
    <xf numFmtId="41" fontId="26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2" fontId="4" fillId="0" borderId="0" xfId="0" applyNumberFormat="1" applyFont="1" applyAlignment="1" applyProtection="1">
      <alignment vertical="center" wrapText="1"/>
      <protection locked="0"/>
    </xf>
    <xf numFmtId="43" fontId="4" fillId="0" borderId="0" xfId="0" applyNumberFormat="1" applyFont="1" applyAlignment="1" applyProtection="1">
      <alignment vertical="center" wrapText="1"/>
      <protection locked="0"/>
    </xf>
    <xf numFmtId="164" fontId="30" fillId="2" borderId="1" xfId="4" applyFont="1" applyFill="1" applyBorder="1" applyAlignment="1" applyProtection="1">
      <alignment horizontal="right" vertical="center" wrapText="1"/>
    </xf>
    <xf numFmtId="0" fontId="52" fillId="2" borderId="0" xfId="0" applyFont="1" applyFill="1" applyAlignment="1" applyProtection="1">
      <alignment horizontal="center" vertical="center"/>
      <protection locked="0"/>
    </xf>
    <xf numFmtId="164" fontId="24" fillId="0" borderId="1" xfId="4" applyNumberFormat="1" applyFont="1" applyFill="1" applyBorder="1" applyAlignment="1" applyProtection="1">
      <alignment horizontal="right" vertical="center" wrapText="1"/>
      <protection locked="0"/>
    </xf>
    <xf numFmtId="187" fontId="31" fillId="0" borderId="0" xfId="0" applyNumberFormat="1" applyFont="1" applyAlignment="1" applyProtection="1">
      <alignment horizontal="center" vertical="center"/>
      <protection locked="0"/>
    </xf>
    <xf numFmtId="186" fontId="33" fillId="2" borderId="0" xfId="4" applyNumberFormat="1" applyFont="1" applyFill="1" applyBorder="1" applyAlignment="1" applyProtection="1">
      <alignment vertical="center" wrapText="1"/>
    </xf>
    <xf numFmtId="0" fontId="56" fillId="0" borderId="0" xfId="0" applyFont="1" applyAlignment="1" applyProtection="1">
      <alignment horizontal="center" vertical="center"/>
    </xf>
    <xf numFmtId="185" fontId="33" fillId="2" borderId="0" xfId="4" applyNumberFormat="1" applyFont="1" applyFill="1" applyBorder="1" applyAlignment="1" applyProtection="1">
      <alignment vertical="center" wrapText="1"/>
    </xf>
    <xf numFmtId="187" fontId="56" fillId="2" borderId="0" xfId="0" applyNumberFormat="1" applyFont="1" applyFill="1" applyBorder="1" applyAlignment="1" applyProtection="1">
      <alignment horizontal="center" vertical="center"/>
      <protection locked="0"/>
    </xf>
    <xf numFmtId="164" fontId="56" fillId="0" borderId="0" xfId="4" applyFont="1" applyAlignment="1" applyProtection="1">
      <alignment horizontal="center" vertical="center"/>
      <protection locked="0"/>
    </xf>
    <xf numFmtId="189" fontId="56" fillId="2" borderId="0" xfId="0" applyNumberFormat="1" applyFont="1" applyFill="1" applyBorder="1" applyAlignment="1" applyProtection="1">
      <alignment horizontal="center" vertical="center"/>
      <protection locked="0"/>
    </xf>
    <xf numFmtId="0" fontId="56" fillId="0" borderId="0" xfId="0" applyFont="1" applyAlignment="1" applyProtection="1">
      <alignment horizontal="center" vertical="center"/>
      <protection locked="0"/>
    </xf>
    <xf numFmtId="188" fontId="56" fillId="0" borderId="0" xfId="0" applyNumberFormat="1" applyFont="1" applyAlignment="1" applyProtection="1">
      <alignment horizontal="center" vertical="center"/>
      <protection locked="0"/>
    </xf>
    <xf numFmtId="164" fontId="26" fillId="13" borderId="1" xfId="4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24" fillId="2" borderId="1" xfId="4" applyFont="1" applyFill="1" applyBorder="1" applyAlignment="1" applyProtection="1">
      <alignment vertical="center" wrapText="1"/>
      <protection locked="0"/>
    </xf>
    <xf numFmtId="0" fontId="56" fillId="0" borderId="0" xfId="0" applyFont="1" applyAlignment="1" applyProtection="1">
      <alignment vertical="center" wrapText="1"/>
      <protection locked="0"/>
    </xf>
    <xf numFmtId="190" fontId="24" fillId="0" borderId="0" xfId="0" applyNumberFormat="1" applyFont="1" applyAlignment="1" applyProtection="1">
      <alignment horizontal="center" vertical="center"/>
      <protection locked="0"/>
    </xf>
    <xf numFmtId="191" fontId="24" fillId="0" borderId="0" xfId="0" applyNumberFormat="1" applyFont="1" applyAlignment="1" applyProtection="1">
      <alignment horizontal="center" vertical="center"/>
      <protection locked="0"/>
    </xf>
    <xf numFmtId="190" fontId="4" fillId="0" borderId="0" xfId="0" applyNumberFormat="1" applyFont="1" applyAlignment="1" applyProtection="1">
      <alignment vertical="center" wrapText="1"/>
      <protection locked="0"/>
    </xf>
    <xf numFmtId="192" fontId="57" fillId="0" borderId="0" xfId="0" applyNumberFormat="1" applyFont="1" applyAlignment="1" applyProtection="1">
      <alignment vertical="center" wrapText="1"/>
      <protection locked="0"/>
    </xf>
    <xf numFmtId="0" fontId="3" fillId="14" borderId="5" xfId="0" applyFont="1" applyFill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6" fillId="13" borderId="5" xfId="0" applyFont="1" applyFill="1" applyBorder="1" applyAlignment="1">
      <alignment horizontal="center" vertical="center"/>
    </xf>
    <xf numFmtId="0" fontId="26" fillId="13" borderId="0" xfId="0" applyFont="1" applyFill="1" applyAlignment="1">
      <alignment horizontal="center" vertical="center"/>
    </xf>
    <xf numFmtId="0" fontId="24" fillId="14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24" fillId="0" borderId="1" xfId="3" applyNumberFormat="1" applyFont="1" applyBorder="1" applyAlignment="1" applyProtection="1">
      <alignment horizontal="center" vertical="center" wrapText="1"/>
      <protection locked="0"/>
    </xf>
    <xf numFmtId="166" fontId="24" fillId="0" borderId="1" xfId="3" applyNumberFormat="1" applyFont="1" applyBorder="1" applyAlignment="1" applyProtection="1">
      <alignment horizontal="center" vertical="center" wrapText="1"/>
      <protection locked="0"/>
    </xf>
    <xf numFmtId="170" fontId="24" fillId="0" borderId="1" xfId="3" applyNumberFormat="1" applyFont="1" applyBorder="1" applyAlignment="1" applyProtection="1">
      <alignment horizontal="center" vertical="center" wrapText="1"/>
      <protection locked="0"/>
    </xf>
    <xf numFmtId="0" fontId="23" fillId="14" borderId="5" xfId="0" applyFont="1" applyFill="1" applyBorder="1" applyAlignment="1" applyProtection="1">
      <alignment horizontal="left" vertical="center" wrapText="1"/>
      <protection locked="0"/>
    </xf>
    <xf numFmtId="0" fontId="23" fillId="14" borderId="0" xfId="0" applyFont="1" applyFill="1" applyBorder="1" applyAlignment="1" applyProtection="1">
      <alignment horizontal="left" vertical="center" wrapText="1"/>
      <protection locked="0"/>
    </xf>
    <xf numFmtId="0" fontId="26" fillId="13" borderId="1" xfId="0" applyFont="1" applyFill="1" applyBorder="1" applyAlignment="1" applyProtection="1">
      <alignment horizontal="left" vertical="center"/>
      <protection locked="0"/>
    </xf>
    <xf numFmtId="166" fontId="51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6" fillId="13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166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wrapText="1"/>
      <protection locked="0"/>
    </xf>
    <xf numFmtId="2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top" wrapText="1"/>
      <protection locked="0"/>
    </xf>
    <xf numFmtId="10" fontId="24" fillId="2" borderId="1" xfId="3" applyNumberFormat="1" applyFont="1" applyFill="1" applyBorder="1" applyAlignment="1" applyProtection="1">
      <alignment horizontal="center" vertical="center" wrapText="1"/>
    </xf>
    <xf numFmtId="184" fontId="24" fillId="2" borderId="1" xfId="3" applyNumberFormat="1" applyFont="1" applyFill="1" applyBorder="1" applyAlignment="1" applyProtection="1">
      <alignment horizontal="center" vertical="center" wrapText="1"/>
    </xf>
    <xf numFmtId="170" fontId="24" fillId="2" borderId="1" xfId="3" applyNumberFormat="1" applyFont="1" applyFill="1" applyBorder="1" applyAlignment="1" applyProtection="1">
      <alignment horizontal="center" vertical="center" wrapText="1"/>
    </xf>
    <xf numFmtId="2" fontId="24" fillId="2" borderId="1" xfId="3" applyNumberFormat="1" applyFont="1" applyFill="1" applyBorder="1" applyAlignment="1" applyProtection="1">
      <alignment horizontal="center" vertical="center" wrapText="1"/>
    </xf>
    <xf numFmtId="0" fontId="24" fillId="2" borderId="1" xfId="5" applyFont="1" applyFill="1" applyBorder="1" applyAlignment="1" applyProtection="1">
      <alignment horizontal="left" vertical="center" wrapText="1"/>
      <protection locked="0"/>
    </xf>
    <xf numFmtId="0" fontId="24" fillId="8" borderId="1" xfId="5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6" fontId="24" fillId="2" borderId="1" xfId="3" applyNumberFormat="1" applyFont="1" applyFill="1" applyBorder="1" applyAlignment="1" applyProtection="1">
      <alignment horizontal="center" vertical="center" wrapText="1"/>
      <protection locked="0"/>
    </xf>
    <xf numFmtId="170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166" fontId="24" fillId="0" borderId="36" xfId="3" applyNumberFormat="1" applyFont="1" applyBorder="1" applyAlignment="1" applyProtection="1">
      <alignment horizontal="center" vertical="center" wrapText="1"/>
      <protection locked="0"/>
    </xf>
    <xf numFmtId="166" fontId="24" fillId="0" borderId="4" xfId="3" applyNumberFormat="1" applyFont="1" applyBorder="1" applyAlignment="1" applyProtection="1">
      <alignment horizontal="center" vertical="center" wrapText="1"/>
      <protection locked="0"/>
    </xf>
    <xf numFmtId="166" fontId="51" fillId="18" borderId="1" xfId="3" applyNumberFormat="1" applyFont="1" applyFill="1" applyBorder="1" applyAlignment="1" applyProtection="1">
      <alignment horizontal="center" vertical="center" wrapText="1"/>
      <protection locked="0"/>
    </xf>
    <xf numFmtId="0" fontId="26" fillId="13" borderId="23" xfId="0" applyFont="1" applyFill="1" applyBorder="1" applyAlignment="1" applyProtection="1">
      <alignment horizontal="left" vertical="center" wrapText="1"/>
      <protection locked="0"/>
    </xf>
    <xf numFmtId="0" fontId="26" fillId="13" borderId="24" xfId="0" applyFont="1" applyFill="1" applyBorder="1" applyAlignment="1" applyProtection="1">
      <alignment horizontal="left" vertical="center" wrapText="1"/>
      <protection locked="0"/>
    </xf>
    <xf numFmtId="0" fontId="26" fillId="13" borderId="34" xfId="0" applyFont="1" applyFill="1" applyBorder="1" applyAlignment="1" applyProtection="1">
      <alignment horizontal="left" vertical="center" wrapText="1"/>
      <protection locked="0"/>
    </xf>
    <xf numFmtId="0" fontId="26" fillId="13" borderId="25" xfId="0" applyFont="1" applyFill="1" applyBorder="1" applyAlignment="1" applyProtection="1">
      <alignment horizontal="left" vertical="center" wrapText="1"/>
      <protection locked="0"/>
    </xf>
    <xf numFmtId="0" fontId="26" fillId="13" borderId="17" xfId="0" applyFont="1" applyFill="1" applyBorder="1" applyAlignment="1" applyProtection="1">
      <alignment horizontal="center" vertical="center" wrapText="1"/>
      <protection locked="0"/>
    </xf>
    <xf numFmtId="0" fontId="26" fillId="13" borderId="19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Border="1" applyAlignment="1" applyProtection="1">
      <alignment horizontal="left" vertical="center" wrapText="1"/>
      <protection locked="0"/>
    </xf>
    <xf numFmtId="0" fontId="24" fillId="0" borderId="31" xfId="0" applyFont="1" applyBorder="1" applyAlignment="1" applyProtection="1">
      <alignment horizontal="left" vertical="center" wrapText="1"/>
      <protection locked="0"/>
    </xf>
    <xf numFmtId="0" fontId="24" fillId="0" borderId="29" xfId="0" applyFont="1" applyBorder="1" applyAlignment="1" applyProtection="1">
      <alignment horizontal="center" vertical="center" wrapText="1"/>
      <protection locked="0"/>
    </xf>
    <xf numFmtId="0" fontId="24" fillId="0" borderId="32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6" fillId="13" borderId="1" xfId="0" applyFont="1" applyFill="1" applyBorder="1" applyAlignment="1" applyProtection="1">
      <alignment horizontal="left" vertical="center" wrapText="1"/>
      <protection locked="0"/>
    </xf>
    <xf numFmtId="0" fontId="4" fillId="14" borderId="1" xfId="0" applyFont="1" applyFill="1" applyBorder="1" applyAlignment="1" applyProtection="1">
      <alignment horizontal="left" vertical="center" wrapText="1"/>
      <protection locked="0"/>
    </xf>
    <xf numFmtId="0" fontId="4" fillId="14" borderId="1" xfId="0" applyFont="1" applyFill="1" applyBorder="1" applyAlignment="1" applyProtection="1">
      <alignment horizontal="left" vertical="center"/>
      <protection locked="0"/>
    </xf>
    <xf numFmtId="166" fontId="24" fillId="2" borderId="0" xfId="3" applyNumberFormat="1" applyFont="1" applyFill="1" applyBorder="1" applyAlignment="1" applyProtection="1">
      <alignment horizontal="center" vertical="center" wrapText="1"/>
    </xf>
    <xf numFmtId="2" fontId="24" fillId="2" borderId="0" xfId="3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wrapText="1"/>
      <protection locked="0"/>
    </xf>
    <xf numFmtId="0" fontId="24" fillId="0" borderId="1" xfId="0" applyFont="1" applyBorder="1" applyAlignment="1" applyProtection="1">
      <alignment horizontal="center" vertical="top" wrapText="1"/>
      <protection locked="0"/>
    </xf>
    <xf numFmtId="2" fontId="24" fillId="2" borderId="36" xfId="4" applyNumberFormat="1" applyFont="1" applyFill="1" applyBorder="1" applyAlignment="1" applyProtection="1">
      <alignment horizontal="center" vertical="center" wrapText="1"/>
      <protection locked="0"/>
    </xf>
    <xf numFmtId="2" fontId="24" fillId="2" borderId="4" xfId="4" applyNumberFormat="1" applyFont="1" applyFill="1" applyBorder="1" applyAlignment="1" applyProtection="1">
      <alignment horizontal="center" vertical="center" wrapText="1"/>
      <protection locked="0"/>
    </xf>
    <xf numFmtId="170" fontId="24" fillId="2" borderId="0" xfId="3" applyNumberFormat="1" applyFont="1" applyFill="1" applyBorder="1" applyAlignment="1" applyProtection="1">
      <alignment horizontal="center" vertical="center" wrapText="1"/>
    </xf>
    <xf numFmtId="184" fontId="24" fillId="2" borderId="0" xfId="3" applyNumberFormat="1" applyFont="1" applyFill="1" applyBorder="1" applyAlignment="1" applyProtection="1">
      <alignment horizontal="center" vertical="center" wrapText="1"/>
    </xf>
    <xf numFmtId="10" fontId="24" fillId="2" borderId="0" xfId="3" applyNumberFormat="1" applyFont="1" applyFill="1" applyBorder="1" applyAlignment="1" applyProtection="1">
      <alignment horizontal="center" vertical="center" wrapText="1"/>
    </xf>
    <xf numFmtId="2" fontId="24" fillId="2" borderId="1" xfId="3" applyNumberFormat="1" applyFont="1" applyFill="1" applyBorder="1" applyAlignment="1" applyProtection="1">
      <alignment horizontal="center" vertical="center" wrapText="1"/>
      <protection locked="0"/>
    </xf>
    <xf numFmtId="1" fontId="24" fillId="0" borderId="36" xfId="3" applyNumberFormat="1" applyFont="1" applyBorder="1" applyAlignment="1" applyProtection="1">
      <alignment horizontal="center" vertical="center" wrapText="1"/>
      <protection locked="0"/>
    </xf>
    <xf numFmtId="1" fontId="24" fillId="0" borderId="37" xfId="3" applyNumberFormat="1" applyFont="1" applyBorder="1" applyAlignment="1" applyProtection="1">
      <alignment horizontal="center" vertical="center" wrapText="1"/>
      <protection locked="0"/>
    </xf>
    <xf numFmtId="170" fontId="4" fillId="2" borderId="36" xfId="3" applyNumberFormat="1" applyFont="1" applyFill="1" applyBorder="1" applyAlignment="1" applyProtection="1">
      <alignment horizontal="center" vertical="center" wrapText="1"/>
      <protection locked="0"/>
    </xf>
    <xf numFmtId="170" fontId="4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26" fillId="13" borderId="2" xfId="0" applyFont="1" applyFill="1" applyBorder="1" applyAlignment="1" applyProtection="1">
      <alignment horizontal="left" vertical="center" wrapText="1"/>
      <protection locked="0"/>
    </xf>
    <xf numFmtId="0" fontId="26" fillId="13" borderId="4" xfId="0" applyFont="1" applyFill="1" applyBorder="1" applyAlignment="1" applyProtection="1">
      <alignment horizontal="center" vertical="center" wrapText="1"/>
    </xf>
    <xf numFmtId="0" fontId="26" fillId="13" borderId="1" xfId="0" applyFont="1" applyFill="1" applyBorder="1" applyAlignment="1" applyProtection="1">
      <alignment horizontal="center" vertical="center" wrapText="1"/>
    </xf>
    <xf numFmtId="0" fontId="26" fillId="13" borderId="2" xfId="0" applyFont="1" applyFill="1" applyBorder="1" applyAlignment="1" applyProtection="1">
      <alignment horizontal="center" vertical="center" wrapText="1"/>
    </xf>
    <xf numFmtId="0" fontId="32" fillId="0" borderId="35" xfId="0" applyFont="1" applyBorder="1" applyAlignment="1" applyProtection="1">
      <alignment horizontal="center" vertical="center"/>
    </xf>
    <xf numFmtId="0" fontId="26" fillId="13" borderId="20" xfId="0" applyFont="1" applyFill="1" applyBorder="1" applyAlignment="1" applyProtection="1">
      <alignment horizontal="right" vertical="center" wrapText="1"/>
    </xf>
    <xf numFmtId="0" fontId="26" fillId="13" borderId="21" xfId="0" applyFont="1" applyFill="1" applyBorder="1" applyAlignment="1" applyProtection="1">
      <alignment horizontal="right" vertical="center" wrapText="1"/>
    </xf>
    <xf numFmtId="0" fontId="26" fillId="13" borderId="22" xfId="0" applyFont="1" applyFill="1" applyBorder="1" applyAlignment="1" applyProtection="1">
      <alignment horizontal="right" vertical="center" wrapText="1"/>
    </xf>
    <xf numFmtId="0" fontId="23" fillId="14" borderId="18" xfId="0" applyFont="1" applyFill="1" applyBorder="1" applyAlignment="1" applyProtection="1">
      <alignment horizontal="left" vertical="center" wrapText="1"/>
      <protection locked="0"/>
    </xf>
    <xf numFmtId="0" fontId="26" fillId="13" borderId="14" xfId="0" applyFont="1" applyFill="1" applyBorder="1" applyAlignment="1" applyProtection="1">
      <alignment horizontal="center" vertical="center" wrapText="1"/>
    </xf>
    <xf numFmtId="0" fontId="26" fillId="13" borderId="9" xfId="0" applyFont="1" applyFill="1" applyBorder="1" applyAlignment="1" applyProtection="1">
      <alignment horizontal="center" vertical="center" wrapText="1"/>
    </xf>
    <xf numFmtId="0" fontId="26" fillId="13" borderId="1" xfId="0" applyFont="1" applyFill="1" applyBorder="1" applyAlignment="1" applyProtection="1">
      <alignment horizontal="left" vertical="center" wrapText="1"/>
    </xf>
    <xf numFmtId="0" fontId="23" fillId="14" borderId="18" xfId="0" applyNumberFormat="1" applyFont="1" applyFill="1" applyBorder="1" applyAlignment="1" applyProtection="1">
      <alignment horizontal="justify" vertical="center" wrapText="1"/>
      <protection locked="0"/>
    </xf>
    <xf numFmtId="0" fontId="23" fillId="14" borderId="0" xfId="0" applyNumberFormat="1" applyFont="1" applyFill="1" applyBorder="1" applyAlignment="1" applyProtection="1">
      <alignment horizontal="justify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165" fontId="26" fillId="1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6" fillId="13" borderId="10" xfId="0" applyFont="1" applyFill="1" applyBorder="1" applyAlignment="1" applyProtection="1">
      <alignment horizontal="left" vertical="center"/>
      <protection locked="0"/>
    </xf>
    <xf numFmtId="0" fontId="26" fillId="13" borderId="7" xfId="0" applyFont="1" applyFill="1" applyBorder="1" applyAlignment="1" applyProtection="1">
      <alignment horizontal="left" vertical="center"/>
      <protection locked="0"/>
    </xf>
    <xf numFmtId="0" fontId="26" fillId="13" borderId="3" xfId="0" applyFont="1" applyFill="1" applyBorder="1" applyAlignment="1" applyProtection="1">
      <alignment horizontal="left" vertical="center"/>
      <protection locked="0"/>
    </xf>
    <xf numFmtId="41" fontId="26" fillId="13" borderId="2" xfId="0" applyNumberFormat="1" applyFont="1" applyFill="1" applyBorder="1" applyAlignment="1" applyProtection="1">
      <alignment horizontal="center" vertical="center" wrapText="1"/>
    </xf>
    <xf numFmtId="41" fontId="26" fillId="13" borderId="4" xfId="0" applyNumberFormat="1" applyFont="1" applyFill="1" applyBorder="1" applyAlignment="1" applyProtection="1">
      <alignment horizontal="center" vertical="center" wrapText="1"/>
    </xf>
    <xf numFmtId="0" fontId="26" fillId="13" borderId="11" xfId="0" applyFont="1" applyFill="1" applyBorder="1" applyAlignment="1" applyProtection="1">
      <alignment horizontal="center" vertical="center" wrapText="1"/>
    </xf>
    <xf numFmtId="0" fontId="26" fillId="13" borderId="13" xfId="0" applyFont="1" applyFill="1" applyBorder="1" applyAlignment="1" applyProtection="1">
      <alignment horizontal="center" vertical="center" wrapText="1"/>
    </xf>
    <xf numFmtId="0" fontId="26" fillId="13" borderId="17" xfId="0" applyFont="1" applyFill="1" applyBorder="1" applyAlignment="1" applyProtection="1">
      <alignment horizontal="center" vertical="center" wrapText="1"/>
    </xf>
    <xf numFmtId="0" fontId="26" fillId="13" borderId="1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26" fillId="13" borderId="10" xfId="0" applyFont="1" applyFill="1" applyBorder="1" applyAlignment="1" applyProtection="1">
      <alignment horizontal="left" vertical="center" wrapText="1"/>
      <protection locked="0"/>
    </xf>
    <xf numFmtId="0" fontId="26" fillId="13" borderId="7" xfId="0" applyFont="1" applyFill="1" applyBorder="1" applyAlignment="1" applyProtection="1">
      <alignment horizontal="left" vertical="center" wrapText="1"/>
      <protection locked="0"/>
    </xf>
    <xf numFmtId="0" fontId="26" fillId="13" borderId="3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34" fillId="13" borderId="10" xfId="0" applyFont="1" applyFill="1" applyBorder="1" applyAlignment="1" applyProtection="1">
      <alignment horizontal="center" vertical="center" wrapText="1"/>
    </xf>
    <xf numFmtId="0" fontId="34" fillId="13" borderId="7" xfId="0" applyFont="1" applyFill="1" applyBorder="1" applyAlignment="1" applyProtection="1">
      <alignment horizontal="center" vertical="center" wrapText="1"/>
    </xf>
    <xf numFmtId="0" fontId="34" fillId="13" borderId="3" xfId="0" applyFont="1" applyFill="1" applyBorder="1" applyAlignment="1" applyProtection="1">
      <alignment horizontal="center" vertical="center" wrapText="1"/>
    </xf>
    <xf numFmtId="0" fontId="33" fillId="2" borderId="12" xfId="0" applyFont="1" applyFill="1" applyBorder="1" applyAlignment="1" applyProtection="1">
      <alignment horizontal="left" vertical="center"/>
      <protection locked="0"/>
    </xf>
    <xf numFmtId="0" fontId="34" fillId="13" borderId="16" xfId="0" applyFont="1" applyFill="1" applyBorder="1" applyAlignment="1" applyProtection="1">
      <alignment horizontal="center" vertical="center" wrapText="1"/>
    </xf>
    <xf numFmtId="0" fontId="34" fillId="13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23" fillId="16" borderId="36" xfId="0" applyNumberFormat="1" applyFont="1" applyFill="1" applyBorder="1" applyAlignment="1" applyProtection="1">
      <alignment horizontal="center" vertical="center" wrapText="1"/>
      <protection locked="0"/>
    </xf>
    <xf numFmtId="0" fontId="23" fillId="16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18" xfId="0" applyFont="1" applyFill="1" applyBorder="1" applyAlignment="1" applyProtection="1">
      <alignment horizontal="left" vertical="center"/>
      <protection locked="0"/>
    </xf>
    <xf numFmtId="0" fontId="3" fillId="14" borderId="0" xfId="0" applyFont="1" applyFill="1" applyBorder="1" applyAlignment="1" applyProtection="1">
      <alignment horizontal="left" vertical="center"/>
      <protection locked="0"/>
    </xf>
    <xf numFmtId="0" fontId="26" fillId="13" borderId="1" xfId="0" applyFont="1" applyFill="1" applyBorder="1" applyAlignment="1" applyProtection="1">
      <alignment horizontal="center" vertical="center" textRotation="90"/>
    </xf>
    <xf numFmtId="41" fontId="26" fillId="13" borderId="1" xfId="0" applyNumberFormat="1" applyFont="1" applyFill="1" applyBorder="1" applyAlignment="1" applyProtection="1">
      <alignment horizontal="center" vertical="center" wrapText="1"/>
    </xf>
    <xf numFmtId="0" fontId="26" fillId="13" borderId="3" xfId="0" applyFont="1" applyFill="1" applyBorder="1" applyAlignment="1" applyProtection="1">
      <alignment horizontal="center" vertical="center" textRotation="90"/>
    </xf>
    <xf numFmtId="0" fontId="23" fillId="2" borderId="1" xfId="0" applyFont="1" applyFill="1" applyBorder="1" applyAlignment="1" applyProtection="1">
      <alignment horizontal="left" vertical="center"/>
    </xf>
    <xf numFmtId="41" fontId="3" fillId="2" borderId="1" xfId="0" applyNumberFormat="1" applyFont="1" applyFill="1" applyBorder="1" applyAlignment="1" applyProtection="1">
      <alignment horizontal="left" vertical="center" wrapText="1"/>
    </xf>
    <xf numFmtId="41" fontId="26" fillId="13" borderId="1" xfId="0" applyNumberFormat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/>
      <protection locked="0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16" borderId="11" xfId="0" applyFont="1" applyFill="1" applyBorder="1" applyAlignment="1" applyProtection="1">
      <alignment horizontal="center" vertical="center" wrapText="1"/>
    </xf>
    <xf numFmtId="0" fontId="3" fillId="16" borderId="13" xfId="0" applyFont="1" applyFill="1" applyBorder="1" applyAlignment="1" applyProtection="1">
      <alignment horizontal="center" vertical="center" wrapText="1"/>
    </xf>
    <xf numFmtId="0" fontId="3" fillId="16" borderId="17" xfId="0" applyFont="1" applyFill="1" applyBorder="1" applyAlignment="1" applyProtection="1">
      <alignment horizontal="center" vertical="center" wrapText="1"/>
    </xf>
    <xf numFmtId="0" fontId="3" fillId="16" borderId="19" xfId="0" applyFont="1" applyFill="1" applyBorder="1" applyAlignment="1" applyProtection="1">
      <alignment horizontal="center" vertical="center" wrapText="1"/>
    </xf>
    <xf numFmtId="0" fontId="3" fillId="16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46" fillId="0" borderId="16" xfId="0" applyFont="1" applyBorder="1" applyAlignment="1" applyProtection="1">
      <alignment horizontal="center" vertical="center"/>
      <protection locked="0"/>
    </xf>
    <xf numFmtId="0" fontId="28" fillId="13" borderId="1" xfId="0" applyFont="1" applyFill="1" applyBorder="1" applyAlignment="1" applyProtection="1">
      <alignment horizontal="left" vertical="center"/>
      <protection locked="0"/>
    </xf>
    <xf numFmtId="0" fontId="29" fillId="5" borderId="1" xfId="0" applyFont="1" applyFill="1" applyBorder="1" applyAlignment="1" applyProtection="1">
      <alignment horizontal="justify" vertical="center" wrapText="1"/>
      <protection locked="0"/>
    </xf>
    <xf numFmtId="0" fontId="28" fillId="13" borderId="10" xfId="0" applyFont="1" applyFill="1" applyBorder="1" applyAlignment="1" applyProtection="1">
      <alignment horizontal="center" vertical="center"/>
      <protection locked="0"/>
    </xf>
    <xf numFmtId="0" fontId="28" fillId="13" borderId="7" xfId="0" applyFont="1" applyFill="1" applyBorder="1" applyAlignment="1" applyProtection="1">
      <alignment horizontal="center" vertical="center"/>
      <protection locked="0"/>
    </xf>
    <xf numFmtId="164" fontId="28" fillId="13" borderId="1" xfId="4" applyFont="1" applyFill="1" applyBorder="1" applyAlignment="1" applyProtection="1">
      <alignment horizontal="center" vertical="center" wrapText="1"/>
      <protection locked="0"/>
    </xf>
    <xf numFmtId="0" fontId="26" fillId="13" borderId="1" xfId="0" applyFont="1" applyFill="1" applyBorder="1" applyAlignment="1" applyProtection="1">
      <alignment horizontal="right" vertical="center" wrapText="1"/>
    </xf>
    <xf numFmtId="169" fontId="26" fillId="13" borderId="1" xfId="4" applyNumberFormat="1" applyFont="1" applyFill="1" applyBorder="1" applyAlignment="1" applyProtection="1">
      <alignment horizontal="center" vertical="center" wrapText="1"/>
    </xf>
    <xf numFmtId="0" fontId="28" fillId="13" borderId="2" xfId="0" applyFont="1" applyFill="1" applyBorder="1" applyAlignment="1" applyProtection="1">
      <alignment horizontal="center" vertical="center" wrapText="1"/>
      <protection locked="0"/>
    </xf>
    <xf numFmtId="0" fontId="28" fillId="13" borderId="4" xfId="0" applyFont="1" applyFill="1" applyBorder="1" applyAlignment="1" applyProtection="1">
      <alignment horizontal="center" vertical="center" wrapText="1"/>
      <protection locked="0"/>
    </xf>
    <xf numFmtId="0" fontId="28" fillId="13" borderId="1" xfId="0" applyFont="1" applyFill="1" applyBorder="1" applyAlignment="1" applyProtection="1">
      <alignment horizontal="center" vertical="center" wrapText="1"/>
      <protection locked="0"/>
    </xf>
    <xf numFmtId="0" fontId="28" fillId="13" borderId="1" xfId="0" applyFont="1" applyFill="1" applyBorder="1" applyAlignment="1" applyProtection="1">
      <alignment horizontal="center" vertical="center"/>
      <protection locked="0"/>
    </xf>
    <xf numFmtId="0" fontId="26" fillId="13" borderId="11" xfId="0" applyFont="1" applyFill="1" applyBorder="1" applyAlignment="1" applyProtection="1">
      <alignment horizontal="left" vertical="center"/>
      <protection locked="0"/>
    </xf>
    <xf numFmtId="0" fontId="26" fillId="13" borderId="12" xfId="0" applyFont="1" applyFill="1" applyBorder="1" applyAlignment="1" applyProtection="1">
      <alignment horizontal="left" vertical="center"/>
      <protection locked="0"/>
    </xf>
    <xf numFmtId="0" fontId="26" fillId="13" borderId="36" xfId="0" applyFont="1" applyFill="1" applyBorder="1" applyAlignment="1" applyProtection="1">
      <alignment horizontal="center" vertical="center" wrapText="1"/>
      <protection locked="0"/>
    </xf>
    <xf numFmtId="0" fontId="26" fillId="13" borderId="4" xfId="0" applyFont="1" applyFill="1" applyBorder="1" applyAlignment="1" applyProtection="1">
      <alignment horizontal="center" vertical="center" wrapText="1"/>
      <protection locked="0"/>
    </xf>
  </cellXfs>
  <cellStyles count="18">
    <cellStyle name="Bom" xfId="1" builtinId="26"/>
    <cellStyle name="Moeda 2" xfId="6"/>
    <cellStyle name="Neutra" xfId="2" builtinId="28"/>
    <cellStyle name="Normal" xfId="0" builtinId="0"/>
    <cellStyle name="Normal 2" xfId="5"/>
    <cellStyle name="Normal 2 2" xfId="14"/>
    <cellStyle name="Normal 3" xfId="8"/>
    <cellStyle name="Normal 3 2" xfId="9"/>
    <cellStyle name="Normal 3 2 2" xfId="13"/>
    <cellStyle name="Normal 4" xfId="17"/>
    <cellStyle name="Porcentagem" xfId="3" builtinId="5"/>
    <cellStyle name="Porcentagem 2" xfId="12"/>
    <cellStyle name="Separador de milhares 2" xfId="15"/>
    <cellStyle name="Vírgula" xfId="4" builtinId="3"/>
    <cellStyle name="Vírgula 2" xfId="7"/>
    <cellStyle name="Vírgula 2 2" xfId="11"/>
    <cellStyle name="Vírgula 3" xfId="16"/>
    <cellStyle name="Vírgula 4" xfId="10"/>
  </cellStyles>
  <dxfs count="5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6900"/>
      <color rgb="FFFF6600"/>
      <color rgb="FFFFCFAF"/>
      <color rgb="FFFFF3EB"/>
      <color rgb="FFFFF5D9"/>
      <color rgb="FFFFCD00"/>
      <color rgb="FF530053"/>
      <color rgb="FFF09C68"/>
      <color rgb="FF2A5664"/>
      <color rgb="FFE4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66675</xdr:rowOff>
        </xdr:from>
        <xdr:to>
          <xdr:col>10</xdr:col>
          <xdr:colOff>581025</xdr:colOff>
          <xdr:row>3</xdr:row>
          <xdr:rowOff>28575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xmlns="" id="{00000000-0008-0000-01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</xdr:row>
      <xdr:rowOff>6445</xdr:rowOff>
    </xdr:from>
    <xdr:to>
      <xdr:col>10</xdr:col>
      <xdr:colOff>569026</xdr:colOff>
      <xdr:row>4</xdr:row>
      <xdr:rowOff>3801533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95"/>
          <a:ext cx="6707359" cy="3795088"/>
        </a:xfrm>
        <a:prstGeom prst="rect">
          <a:avLst/>
        </a:prstGeom>
        <a:solidFill>
          <a:schemeClr val="accent2"/>
        </a:solidFill>
        <a:ln>
          <a:noFill/>
        </a:ln>
      </xdr:spPr>
    </xdr:pic>
    <xdr:clientData/>
  </xdr:twoCellAnchor>
  <xdr:twoCellAnchor>
    <xdr:from>
      <xdr:col>12</xdr:col>
      <xdr:colOff>108907</xdr:colOff>
      <xdr:row>4</xdr:row>
      <xdr:rowOff>1547898</xdr:rowOff>
    </xdr:from>
    <xdr:to>
      <xdr:col>14</xdr:col>
      <xdr:colOff>275166</xdr:colOff>
      <xdr:row>4</xdr:row>
      <xdr:rowOff>2691725</xdr:rowOff>
    </xdr:to>
    <xdr:sp macro="" textlink="">
      <xdr:nvSpPr>
        <xdr:cNvPr id="6" name="Retângulo de cantos arredondados 10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7474907" y="7421648"/>
          <a:ext cx="1393926" cy="114382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Facultativo a utilização dos ODS na Programação 2023.</a:t>
          </a:r>
          <a:endParaRPr lang="pt-B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38774</xdr:colOff>
      <xdr:row>4</xdr:row>
      <xdr:rowOff>1821296</xdr:rowOff>
    </xdr:from>
    <xdr:to>
      <xdr:col>12</xdr:col>
      <xdr:colOff>57933</xdr:colOff>
      <xdr:row>4</xdr:row>
      <xdr:rowOff>2242128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6790941" y="7695046"/>
          <a:ext cx="632992" cy="420832"/>
        </a:xfrm>
        <a:prstGeom prst="rightArrow">
          <a:avLst/>
        </a:prstGeom>
        <a:solidFill>
          <a:srgbClr val="2A566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s-caubr\ASSESSORIA%20DE%20PLANEJAMENTO%20E%20GESTAO%20DA%20ESTRATEGIA\2022\Reprograma&#231;&#227;o%202022\Parecer\Plano%20de%20A&#231;&#227;o%20final\Reprograma&#231;&#227;o%20do%20Plano%20de%20A&#231;&#227;o%20e%20Or&#231;amento%202022%20CAU-B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s-caubr\Users\patriciagomo\Desktop\Reprograma&#231;&#227;o%202020\Tabelas%20Diretrizes%20-%20Repro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."/>
      <sheetName val="AÇÕES ESTRATÉGICAS - DESCRIÇÃO"/>
      <sheetName val="AÇÕES ESTRATÉGICAS - DESCRIÇÃO "/>
      <sheetName val="Validaçã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>
        <row r="1">
          <cell r="XFB1">
            <v>0.05</v>
          </cell>
        </row>
      </sheetData>
      <sheetData sheetId="36">
        <row r="5">
          <cell r="C5">
            <v>586</v>
          </cell>
        </row>
      </sheetData>
      <sheetData sheetId="37"/>
      <sheetData sheetId="38">
        <row r="6">
          <cell r="AX6">
            <v>67439.888000000006</v>
          </cell>
        </row>
      </sheetData>
      <sheetData sheetId="39"/>
      <sheetData sheetId="40"/>
      <sheetData sheetId="41"/>
      <sheetData sheetId="42"/>
      <sheetData sheetId="43">
        <row r="2">
          <cell r="J2" t="str">
            <v>PJ até 2 anos com sócio AU formado até 2 anos</v>
          </cell>
        </row>
      </sheetData>
      <sheetData sheetId="44"/>
      <sheetData sheetId="45"/>
      <sheetData sheetId="46"/>
      <sheetData sheetId="47">
        <row r="3">
          <cell r="A3" t="str">
            <v>SP</v>
          </cell>
        </row>
      </sheetData>
      <sheetData sheetId="48">
        <row r="30">
          <cell r="A30" t="str">
            <v>RR</v>
          </cell>
        </row>
      </sheetData>
      <sheetData sheetId="49">
        <row r="3">
          <cell r="D3">
            <v>2726.8547648527197</v>
          </cell>
        </row>
      </sheetData>
      <sheetData sheetId="50"/>
      <sheetData sheetId="51"/>
      <sheetData sheetId="52">
        <row r="2">
          <cell r="A2" t="str">
            <v>AC</v>
          </cell>
        </row>
      </sheetData>
      <sheetData sheetId="53">
        <row r="10">
          <cell r="A10" t="str">
            <v>RR</v>
          </cell>
        </row>
      </sheetData>
      <sheetData sheetId="54">
        <row r="3">
          <cell r="A3" t="str">
            <v>AC</v>
          </cell>
        </row>
      </sheetData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Mapa Estratégico e ODS"/>
      <sheetName val="Indicadores e Metas."/>
      <sheetName val="Indicadores e Metas  (2)"/>
      <sheetName val="Diretrizes - Resumo (2)"/>
      <sheetName val="Demonstrativo Empenhos e Pgto"/>
      <sheetName val=" Quadro Geral "/>
      <sheetName val="Anexo 1. Fontes e Aplicações"/>
      <sheetName val="Anexo 2. Limites Estratégicos"/>
      <sheetName val="Anexo 3. Elemento de Despesas"/>
      <sheetName val="Validação de dados"/>
      <sheetName val="Diretrizes - Resumo"/>
      <sheetName val="Matriz de Obj. Estrat.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E8" t="str">
            <v>Prover recursos humanos e materiais para articular parcerias e estimular práticas voltadas a valorização e fiscalização profissional</v>
          </cell>
          <cell r="F8" t="str">
            <v>Assegurar a eficácia no relacionamento e comunicação com a sociedade</v>
          </cell>
          <cell r="H8" t="str">
            <v>Fortalecimento e sedimentação da missão e visão do sistema CAU em face da sociedade, profissionais, instituições públicas e privadas.</v>
          </cell>
          <cell r="L8">
            <v>298459.33999999997</v>
          </cell>
        </row>
        <row r="9">
          <cell r="E9" t="str">
            <v>Prover  a estruturação, seja por meio de recursos humanos, equipamentos,  materiais e tecnologia  para execução das atividades das diversas unidades e comissões regimentais e não regimentais do CAU/BA</v>
          </cell>
          <cell r="F9" t="str">
            <v>Construir cultura organizacional adequada à estratégia</v>
          </cell>
          <cell r="H9" t="str">
            <v>Manter a continuidade dos serviços e atividades do CAU/BA; Assegurar o bom funcionamento, manter a organização e promover a estruturação necessária para garantia da eficácia dos serviços, desde o atendimento, fomento à valorização profissional e fiscalização.</v>
          </cell>
          <cell r="L9">
            <v>898947.73</v>
          </cell>
        </row>
        <row r="10">
          <cell r="E10" t="str">
            <v xml:space="preserve">Orientar, disciplinar e promover o exercício qualificado da Arquitetura e Urbanismo </v>
          </cell>
          <cell r="F10" t="str">
            <v>Assegurar a eficácia no atendimento e no relacionamento com os Arquitetos e Urbanistas e a Sociedade</v>
          </cell>
          <cell r="H10" t="str">
            <v xml:space="preserve">Melhorar quantitativamente e qualitativamente o atendimento prestado aos profissionais e empresas </v>
          </cell>
          <cell r="L10">
            <v>220961.44</v>
          </cell>
        </row>
        <row r="11">
          <cell r="E11" t="str">
            <v>Prover recursos humanos e materiais para operacionalizar, planejar e identificar o segmento técnico fiscalizável  e no âmbito do Estado da Bahia, além de prover a estruturação dos processos éticos.</v>
          </cell>
          <cell r="F11" t="str">
            <v>Promover o exercício ético e qualificado da profissão</v>
          </cell>
          <cell r="H11" t="str">
            <v>Contribuir para a maximização das ações de fiscalização com utilização de mecanismos inovadores para sua efetivação; Contribuir para a maximização das ações disciplinares éticas.</v>
          </cell>
          <cell r="L11">
            <v>62573.43</v>
          </cell>
        </row>
        <row r="12">
          <cell r="E12" t="str">
            <v>Prover recursos humanos e materiais, operacionalizar e planejar a continuidade das ações  financeiras do CAU/BA, zelando pelo equilíbrio das contas do Conselho.</v>
          </cell>
          <cell r="F12" t="str">
            <v>Assegurar a sustentabilidade financeira</v>
          </cell>
          <cell r="H12" t="str">
            <v>Melhoria no gerenciamento do fluxo de pagamentos e contratações, com vistas a estruturar rotinas eficazes de gestão.</v>
          </cell>
          <cell r="L12">
            <v>455824.47000000003</v>
          </cell>
        </row>
        <row r="13">
          <cell r="E13" t="str">
            <v>Prover recursos humanos e materiais para estruturar, organizar e manter em funcionamento a Assessoria Jurídica do CAU-BA.</v>
          </cell>
          <cell r="F13" t="str">
            <v>Aprimorar e inovar os processos e as ações</v>
          </cell>
          <cell r="H13" t="str">
            <v>Elevar o conhecimento dos colaboradores em normativos aplicáveis a autarquia CAU/BA, compartilhando informações e procedimentos</v>
          </cell>
          <cell r="L13">
            <v>213727.62</v>
          </cell>
        </row>
        <row r="14">
          <cell r="E14" t="str">
            <v>Prover recursos humanos e materiais visando o processamento das demandas ético-disciplinares</v>
          </cell>
          <cell r="F14" t="str">
            <v>Promover o exercício ético e qualificado da profissão</v>
          </cell>
          <cell r="H14" t="str">
            <v>Contribuir para a otimização e agilização dos processos administrativos ético-disciplinares no âmbito do CAU/BA</v>
          </cell>
          <cell r="L14">
            <v>174608.06</v>
          </cell>
        </row>
        <row r="15">
          <cell r="E15" t="str">
            <v>Prover recursos humanos e materiais visando a estruturação e organização dos normativos do CAU/BA.</v>
          </cell>
          <cell r="F15" t="str">
            <v>Aprimorar e inovar os processos e as ações</v>
          </cell>
          <cell r="H15" t="str">
            <v>Contribuir para a otimização e agilização dos procedimentos operacionais e administrativos no âmbito do CAU/BA.</v>
          </cell>
          <cell r="L15">
            <v>53000</v>
          </cell>
        </row>
        <row r="16">
          <cell r="E16" t="str">
            <v>Prover recursos humanos e materiais visando a estruturação e organização das ações de valorização profissional e de fiscalização.</v>
          </cell>
          <cell r="F16" t="str">
            <v>Tornar a fiscalização um vetor de melhoria do exercício da Arquitetura e Urbanismo</v>
          </cell>
          <cell r="H16" t="str">
            <v>Contribuir para a efetivação da fiscalização, mediante análise comparativa de dados, cumprimento de diligências, participação da sociedade, com vistas a assegurar a melhoria do exercício profissional do Arquiteto e Urbanista.</v>
          </cell>
          <cell r="L16">
            <v>60000</v>
          </cell>
        </row>
        <row r="17">
          <cell r="E17" t="str">
            <v>Prover recursos humanos e materiais visando a estruturação e organização do planejamento e de controle do CAU/BA</v>
          </cell>
          <cell r="F17" t="str">
            <v>Assegurar a sustentabilidade financeira</v>
          </cell>
          <cell r="H17" t="str">
            <v>Contribuir para a otimização e agilização dos procedimentos de planejamento e de controle no âmbito do CAU/BA</v>
          </cell>
          <cell r="L17">
            <v>52000</v>
          </cell>
        </row>
        <row r="18">
          <cell r="E18" t="str">
            <v>Prover recursos humanos e materiais visando a estruturação e organização da educação continuada e de formação profissional no âmbito do CAU/BA.</v>
          </cell>
          <cell r="F18" t="str">
            <v>Influenciar as diretrizes do ensino de Arquitetura e Urbanismo e sua formação continuada</v>
          </cell>
          <cell r="H18" t="str">
            <v>Contribuir para a otimização e agilização dos procedimentos internos no âmbito do CAU/BA vinculados ao ensino e formação.</v>
          </cell>
          <cell r="L18">
            <v>55000</v>
          </cell>
        </row>
        <row r="19">
          <cell r="E19" t="str">
            <v>Prover recursos técnicos visando a estruturação ao empreendedorismo dos arquitetos e urbanistas</v>
          </cell>
          <cell r="F19" t="str">
            <v>Aprimorar e inovar os processos e as ações</v>
          </cell>
          <cell r="H19" t="str">
            <v>Contribuir para a disseminação da cultura empreendedora e organização da atividade profissional sob a perspectiva dos negócios</v>
          </cell>
          <cell r="L19">
            <v>45000</v>
          </cell>
        </row>
        <row r="20">
          <cell r="E20" t="str">
            <v>Prover recursos técnicos visando opinar sobre matérias com impacto urbanista</v>
          </cell>
          <cell r="F20" t="str">
            <v>Garantir a participação dos Arquitetos e Urbanistas no planejamento territorial e na gestão urbana</v>
          </cell>
          <cell r="H20" t="str">
            <v>Contribuir para a inserção da arquitetura nos planos gerais e parciais de urbanização ou reurbanização das cidades do estado da Bahia</v>
          </cell>
          <cell r="L20">
            <v>45000</v>
          </cell>
        </row>
        <row r="21">
          <cell r="E21" t="str">
            <v>Intercambiar informações e atualizar as diretrizes de atuação no âmbito Estadual</v>
          </cell>
          <cell r="F21" t="str">
            <v>Estimular a produção da Arquitetura e Urbanismo como política de Estado</v>
          </cell>
          <cell r="H21" t="str">
            <v>Prover recursos humanos e materiais visando a estruturação e organização das ações do Plenário do âmbito do CAU/BA</v>
          </cell>
          <cell r="L21">
            <v>80772.06</v>
          </cell>
        </row>
        <row r="22">
          <cell r="E22" t="str">
            <v>Promover evento que fomente a dignificação da Arquitetura por meio do intercâmbio de informações técnico-temático</v>
          </cell>
          <cell r="F22" t="str">
            <v>Assegurar a eficácia no relacionamento e comunicação com a sociedade</v>
          </cell>
          <cell r="H22" t="str">
            <v>Intensificar e aproximar O CAU/BA com seu público-alvo e a sociedade em geral, além de aprimorar a atuação profissional, por meio do fomento ao aperfeiçoamento profissional.</v>
          </cell>
          <cell r="L22">
            <v>80000</v>
          </cell>
        </row>
        <row r="23">
          <cell r="E23" t="str">
            <v>Construir parcerias e identificar temáticas que contribuam para a maturação do conteúdo de formação profissional</v>
          </cell>
          <cell r="F23" t="str">
            <v>Assegurar a eficácia no atendimento e no relacionamento com os Arquitetos e Urbanistas e a Sociedade</v>
          </cell>
          <cell r="H23" t="str">
            <v>Dotar o CAU/BA de rotina continuada de fomento e de valorização profissional</v>
          </cell>
          <cell r="L23">
            <v>104574.33</v>
          </cell>
        </row>
        <row r="24">
          <cell r="E24" t="str">
            <v>Intensificar parcerias voltadas ao desenvolvimento da Arquitetura e Urbanismo</v>
          </cell>
          <cell r="F24" t="str">
            <v>Estimular o conhecimento, o uso de processos criativos e a difusão das melhores práticas em Arquitetura e Urbanismo</v>
          </cell>
          <cell r="H24" t="str">
            <v>Estruturar e solidificar parcerias estratégicas</v>
          </cell>
          <cell r="L24">
            <v>50807.55</v>
          </cell>
        </row>
        <row r="25">
          <cell r="E25" t="str">
            <v>Contribuir para estruturação e distribuição de recursos vinculadas a constituição de Fundo de Apoio.</v>
          </cell>
          <cell r="F25" t="str">
            <v>Assegurar a sustentabilidade financeira</v>
          </cell>
          <cell r="H25" t="str">
            <v>Participação na estruturação de organização sistêmica nacional</v>
          </cell>
          <cell r="L25">
            <v>57457.43</v>
          </cell>
        </row>
        <row r="26">
          <cell r="E26" t="str">
            <v>Prover recursos humanos e materiais para promover e disseminar a  missão, visão,  consolidando a marca CAU/BA</v>
          </cell>
          <cell r="F26" t="str">
            <v>Assegurar a eficácia no relacionamento e comunicação com a sociedade</v>
          </cell>
          <cell r="H26" t="str">
            <v>Solidificar a imagem, a marca e a missão do CAU/BA enquanto instituição que busca promover a Arquitetura para todos, em defesa da sociedade</v>
          </cell>
          <cell r="L26">
            <v>319584.81</v>
          </cell>
        </row>
        <row r="27">
          <cell r="E27" t="str">
            <v>Direcionar o profissional a um processo de educação, reciclagem e alteração de comportamento</v>
          </cell>
          <cell r="F27" t="str">
            <v>Desenvolver competências de dirigentes e colaboradores</v>
          </cell>
          <cell r="H27" t="str">
            <v>Dotar o CAU/BA de rotina continuada de fomento e de valorização dos colaboradores</v>
          </cell>
          <cell r="L27">
            <v>40000</v>
          </cell>
        </row>
        <row r="28">
          <cell r="E28" t="str">
            <v>Disseminar e sensibilizar a assistência técnica pública e gratuita para o projeto e a construção de habitação de interesse social, como parte integrante do direito social à moradia previsto.</v>
          </cell>
          <cell r="F28" t="str">
            <v>Fomentar o acesso da sociedade à Arquitetura e Urbanismo</v>
          </cell>
          <cell r="H28" t="str">
            <v>Valorização e disseminação da cultura da Assistência Técnica</v>
          </cell>
          <cell r="L28">
            <v>250357.65</v>
          </cell>
        </row>
        <row r="29">
          <cell r="E29" t="str">
            <v>Aperfeiçoar o atendimento aos públicos interno e externo e  aprimorar o relacionamento com a sociedade</v>
          </cell>
          <cell r="F29" t="str">
            <v>Assegurar a eficácia no atendimento e no relacionamento com os Arquitetos e Urbanistas e a Sociedade</v>
          </cell>
          <cell r="H29" t="str">
            <v>Aperfeiçoar a qualidade do atendimento prestado aos públicos interno e externo.</v>
          </cell>
          <cell r="L29">
            <v>288922.01999999996</v>
          </cell>
        </row>
        <row r="30">
          <cell r="E30" t="str">
            <v>Reestruturação dos espaços e atividades</v>
          </cell>
          <cell r="F30" t="str">
            <v>Ter sistemas de informação e infraestrutura que viabilizem a gestão e o atendimento dos arquitetos e urbanistas e a sociedade</v>
          </cell>
          <cell r="H30" t="str">
            <v>O redimensionamento dos espaços contribuirá para melhoria das atividades de fiscalização, de registro, cadastro, atendimento e funcionamento do CAU/BA</v>
          </cell>
          <cell r="L30">
            <v>800000</v>
          </cell>
        </row>
        <row r="31">
          <cell r="E31" t="str">
            <v>Modernizar parque computacional do CAU/BA</v>
          </cell>
          <cell r="F31" t="str">
            <v>Ter sistemas de informação e infraestrutura que viabilizem a gestão e o atendimento dos arquitetos e urbanistas e a sociedade</v>
          </cell>
          <cell r="H31" t="str">
            <v>Otimização e agilização dos procedimentos internos e redução no tempo de atendimento ao profissional Arquiteto e Urbanista</v>
          </cell>
          <cell r="L31">
            <v>640000</v>
          </cell>
        </row>
        <row r="32">
          <cell r="E32" t="str">
            <v>Dotar a Gerência de Fiscalização de sistemas que facilitem a gestão e a tomada de decisão no Plano de Fiscalização do CAU/BA</v>
          </cell>
          <cell r="F32" t="str">
            <v>Tornar a fiscalização um vetor de melhoria do exercício da Arquitetura e Urbanismo</v>
          </cell>
          <cell r="H32" t="str">
            <v>Otimização e agilização dos procedimentos internos de fiscalização</v>
          </cell>
          <cell r="L32">
            <v>292434.27</v>
          </cell>
        </row>
        <row r="33">
          <cell r="E33" t="str">
            <v>Dotar a Gerência de Atendimento de sistemas que facilitem e agilizem o atendimento aos profissionais</v>
          </cell>
          <cell r="F33" t="str">
            <v>Assegurar a eficácia no atendimento e no relacionamento com os Arquitetos e Urbanistas e a Sociedade</v>
          </cell>
          <cell r="H33" t="str">
            <v xml:space="preserve">Melhoria na qualidade e na redução do tempo de atendimento </v>
          </cell>
          <cell r="L33">
            <v>38453.21</v>
          </cell>
        </row>
        <row r="34">
          <cell r="E34" t="str">
            <v>Implementar o Plano de Fiscalização Profissional no âmbito do Estado da Bahia</v>
          </cell>
          <cell r="F34" t="str">
            <v>Tornar a fiscalização um vetor de melhoria do exercício da Arquitetura e Urbanismo</v>
          </cell>
          <cell r="H34" t="str">
            <v>Manter a continuidade Operacional do Plano de Fiscalização, visando maximização de suas ações.</v>
          </cell>
          <cell r="L34">
            <v>351504.52</v>
          </cell>
        </row>
        <row r="35">
          <cell r="E35" t="str">
            <v>Suportar eventuais ações estratégicas não contempladas no PA</v>
          </cell>
          <cell r="F35" t="str">
            <v>Assegurar a sustentabilidade financeira</v>
          </cell>
          <cell r="H35" t="str">
            <v>Possibilitar a aplicação de recursos em ações não contempladas no PA</v>
          </cell>
          <cell r="L35">
            <v>41306.949999999997</v>
          </cell>
        </row>
        <row r="36">
          <cell r="E36" t="str">
            <v>Melhoria das instalações e das distribuições das unidades internas e atividades funcionais</v>
          </cell>
          <cell r="F36" t="str">
            <v>Ter sistemas de informação e infraestrutura que viabilizem a gestão e o atendimento dos arquitetos e urbanistas e a sociedade</v>
          </cell>
          <cell r="H36" t="str">
            <v>O redimensionamento dos espaços contribuirá para melhoria das atividades de fiscalização, de registro, cadastro, atendimento e funcionamento do CAU/BA</v>
          </cell>
          <cell r="L36">
            <v>4000000</v>
          </cell>
        </row>
        <row r="37">
          <cell r="E37" t="str">
            <v>Estruturar e organizar a realização do Concurso Público</v>
          </cell>
          <cell r="F37" t="str">
            <v>Aprimorar e inovar os processos e as ações</v>
          </cell>
          <cell r="H37" t="str">
            <v>Dar conformidade e garantia ao processo de contratação de pessoal</v>
          </cell>
          <cell r="L37">
            <v>22901.599999999999</v>
          </cell>
        </row>
        <row r="38">
          <cell r="E38" t="str">
            <v>Planejar e gerenciar as ações  administrativas do CAU/BA, zelando pela contratação mais vantajosa para o Conselho.</v>
          </cell>
          <cell r="F38" t="str">
            <v>Aprimorar e inovar os processos e as ações</v>
          </cell>
          <cell r="H38" t="str">
            <v>Melhoria no gerenciamento do fluxo de contratos, com vistas a estruturar rotinas eficazes de gestão.</v>
          </cell>
          <cell r="L38">
            <v>87849.74</v>
          </cell>
        </row>
        <row r="39">
          <cell r="E39" t="str">
            <v>Proporcionar melhoria de infraestrutura, ainda de forma temporária e até aquisição definitiva da sede, para readequar as instalações físicas em espaço com maior infraestrutura que permita melhor desenvolvimento das ativiades finalístiv=cas da Autarqui</v>
          </cell>
          <cell r="F39" t="str">
            <v>Tornar a fiscalização um vetor de melhoria do exercício da Arquitetura e Urbanismo</v>
          </cell>
          <cell r="H39" t="str">
            <v>Melhoria do cumprimento das ativiades finalísticas da Autaquia, dirigidas aos profissionais, colaboradores e sociedade</v>
          </cell>
          <cell r="L39">
            <v>100000</v>
          </cell>
        </row>
        <row r="40">
          <cell r="E40" t="str">
            <v xml:space="preserve">Possibilitar a aplicação de recursos em ações estratégicas de âmbito global, compreendendo a necessidade de transversalidade das ações das comissões, de modo a cumprir a função do CAU, de “orientar, disciplinar e fiscalizar o exercício da profissão de arquitetura e urbanismo, zelar pela fiel observância dos princípios de ética e disciplina da classe em todo o território nacional, bem como pugnar pelo aperfeiçoamento do exercício da arquitetura e urbanismo” </v>
          </cell>
          <cell r="F40" t="str">
            <v>Assegurar a eficácia no atendimento e no relacionamento com os Arquitetos e Urbanistas e a Sociedade</v>
          </cell>
          <cell r="H40" t="str">
            <v>Fortalecer e sedimentar a missão do CAU/BA de “promover, em benefício da sociedade, a melhoria do exercício profissional da Arquitetura e Urbanismo, atuando com eficácia na orientação, disciplina, fiscalização e na disseminação do conhecimento”, fomentando as boas práticas profissionais e aproximando o CAU/BA do seu público-alvo e da sociedade em geral</v>
          </cell>
          <cell r="L40">
            <v>155201.66</v>
          </cell>
        </row>
      </sheetData>
      <sheetData sheetId="7">
        <row r="8">
          <cell r="F8">
            <v>4997229.8900000006</v>
          </cell>
        </row>
        <row r="9">
          <cell r="F9">
            <v>4151765.1400000006</v>
          </cell>
        </row>
        <row r="10">
          <cell r="F10">
            <v>2362859.2800000003</v>
          </cell>
        </row>
        <row r="11">
          <cell r="F11">
            <v>2095269.05</v>
          </cell>
        </row>
        <row r="12">
          <cell r="F12">
            <v>1725578.28</v>
          </cell>
        </row>
        <row r="13">
          <cell r="F13">
            <v>369690.77</v>
          </cell>
        </row>
        <row r="14">
          <cell r="F14">
            <v>267590.23000000004</v>
          </cell>
        </row>
        <row r="15">
          <cell r="F15">
            <v>167980.98</v>
          </cell>
        </row>
        <row r="16">
          <cell r="F16">
            <v>99609.25</v>
          </cell>
        </row>
        <row r="17">
          <cell r="F17">
            <v>1628784.86</v>
          </cell>
        </row>
        <row r="18">
          <cell r="F18">
            <v>160121</v>
          </cell>
        </row>
        <row r="19">
          <cell r="F19">
            <v>815159.88</v>
          </cell>
        </row>
        <row r="20">
          <cell r="F20">
            <v>30304.87</v>
          </cell>
        </row>
        <row r="21">
          <cell r="F21">
            <v>0</v>
          </cell>
        </row>
        <row r="22">
          <cell r="F22">
            <v>5440000</v>
          </cell>
        </row>
        <row r="23">
          <cell r="F23">
            <v>5440000</v>
          </cell>
        </row>
        <row r="24">
          <cell r="F24">
            <v>0</v>
          </cell>
        </row>
        <row r="25">
          <cell r="F25">
            <v>10437229.890000001</v>
          </cell>
        </row>
        <row r="27">
          <cell r="F27">
            <v>10007578.029999999</v>
          </cell>
        </row>
        <row r="28">
          <cell r="F28">
            <v>6099268.46</v>
          </cell>
        </row>
        <row r="29">
          <cell r="F29">
            <v>0</v>
          </cell>
        </row>
        <row r="30">
          <cell r="F30">
            <v>3908309.5700000003</v>
          </cell>
        </row>
        <row r="31">
          <cell r="F31">
            <v>57457.43</v>
          </cell>
        </row>
        <row r="32">
          <cell r="F32">
            <v>330887.48000000004</v>
          </cell>
        </row>
        <row r="33">
          <cell r="F33">
            <v>41306.949999999997</v>
          </cell>
        </row>
        <row r="34">
          <cell r="F34">
            <v>10437229.889999999</v>
          </cell>
        </row>
      </sheetData>
      <sheetData sheetId="8">
        <row r="6">
          <cell r="E6">
            <v>4151765.1400000006</v>
          </cell>
          <cell r="L6">
            <v>1789225.59</v>
          </cell>
        </row>
        <row r="7">
          <cell r="E7">
            <v>0</v>
          </cell>
          <cell r="L7">
            <v>236683.29</v>
          </cell>
        </row>
        <row r="8">
          <cell r="E8">
            <v>4151765.1400000006</v>
          </cell>
          <cell r="L8">
            <v>4997229.8900000006</v>
          </cell>
        </row>
        <row r="9">
          <cell r="E9">
            <v>57457.43</v>
          </cell>
        </row>
        <row r="10">
          <cell r="E10">
            <v>4094307.7100000004</v>
          </cell>
        </row>
        <row r="13">
          <cell r="E13">
            <v>803938.79</v>
          </cell>
          <cell r="L13">
            <v>1552542.3</v>
          </cell>
        </row>
        <row r="14">
          <cell r="E14">
            <v>0.19635524414455893</v>
          </cell>
          <cell r="L14">
            <v>0.3106805838784415</v>
          </cell>
        </row>
        <row r="15">
          <cell r="E15">
            <v>652911</v>
          </cell>
          <cell r="L15">
            <v>40000</v>
          </cell>
        </row>
        <row r="16">
          <cell r="E16">
            <v>0.15946798488186906</v>
          </cell>
          <cell r="L16">
            <v>2.2356040637670511E-2</v>
          </cell>
        </row>
        <row r="17">
          <cell r="E17">
            <v>698044.14999999991</v>
          </cell>
        </row>
        <row r="18">
          <cell r="E18">
            <v>0.17049137471887765</v>
          </cell>
        </row>
        <row r="19">
          <cell r="E19">
            <v>50807.55</v>
          </cell>
        </row>
        <row r="20">
          <cell r="E20">
            <v>1.2409314003416709E-2</v>
          </cell>
        </row>
        <row r="21">
          <cell r="E21">
            <v>945092.49</v>
          </cell>
        </row>
        <row r="22">
          <cell r="E22">
            <v>0.23083084050856545</v>
          </cell>
        </row>
        <row r="23">
          <cell r="E23">
            <v>250357.65</v>
          </cell>
        </row>
        <row r="24">
          <cell r="E24">
            <v>6.114773674399767E-2</v>
          </cell>
        </row>
        <row r="25">
          <cell r="E25">
            <v>41306.949999999997</v>
          </cell>
        </row>
        <row r="26">
          <cell r="E26">
            <v>1.0088872875653987E-2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  <sheetName val="Validação de dados"/>
      <sheetName val="AÇÕES ESTRATÉGICAS - DESCRIÇÃO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900"/>
  </sheetPr>
  <dimension ref="A1:Y10"/>
  <sheetViews>
    <sheetView showGridLines="0" zoomScale="90" zoomScaleNormal="90" workbookViewId="0">
      <selection activeCell="A9" sqref="A9:XFD9"/>
    </sheetView>
  </sheetViews>
  <sheetFormatPr defaultColWidth="0" defaultRowHeight="15.75" zeroHeight="1" x14ac:dyDescent="0.25"/>
  <cols>
    <col min="1" max="1" width="126.28515625" style="6" customWidth="1"/>
    <col min="2" max="2" width="9.140625" style="4" hidden="1" customWidth="1"/>
    <col min="3" max="25" width="0" style="4" hidden="1" customWidth="1"/>
    <col min="26" max="16384" width="9.140625" style="4" hidden="1"/>
  </cols>
  <sheetData>
    <row r="1" spans="1:17" ht="16.5" thickBot="1" x14ac:dyDescent="0.3">
      <c r="A1" s="254" t="s">
        <v>335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7" ht="39.75" customHeight="1" thickBot="1" x14ac:dyDescent="0.3">
      <c r="A2" s="19" t="s">
        <v>336</v>
      </c>
    </row>
    <row r="3" spans="1:17" ht="39.75" customHeight="1" thickBot="1" x14ac:dyDescent="0.3">
      <c r="A3" s="183" t="s">
        <v>363</v>
      </c>
    </row>
    <row r="4" spans="1:17" ht="39.75" customHeight="1" thickBot="1" x14ac:dyDescent="0.3">
      <c r="A4" s="184" t="s">
        <v>364</v>
      </c>
    </row>
    <row r="5" spans="1:17" ht="59.25" customHeight="1" thickBot="1" x14ac:dyDescent="0.3">
      <c r="A5" s="183" t="s">
        <v>365</v>
      </c>
    </row>
    <row r="6" spans="1:17" ht="39.75" customHeight="1" thickBot="1" x14ac:dyDescent="0.3">
      <c r="A6" s="20" t="s">
        <v>356</v>
      </c>
    </row>
    <row r="7" spans="1:17" ht="57.75" customHeight="1" thickBot="1" x14ac:dyDescent="0.3">
      <c r="A7" s="19" t="s">
        <v>357</v>
      </c>
    </row>
    <row r="8" spans="1:17" ht="36" customHeight="1" thickBot="1" x14ac:dyDescent="0.3">
      <c r="A8" s="21" t="s">
        <v>329</v>
      </c>
    </row>
    <row r="9" spans="1:17" ht="42" customHeight="1" thickBot="1" x14ac:dyDescent="0.3">
      <c r="A9" s="19" t="s">
        <v>337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/>
  </sheetData>
  <mergeCells count="1">
    <mergeCell ref="A1:K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900"/>
  </sheetPr>
  <dimension ref="A1:U5"/>
  <sheetViews>
    <sheetView showGridLines="0" zoomScaleNormal="100" zoomScaleSheetLayoutView="90" workbookViewId="0">
      <selection activeCell="L1" sqref="L1:O1048576"/>
    </sheetView>
  </sheetViews>
  <sheetFormatPr defaultColWidth="0" defaultRowHeight="15.75" zeroHeight="1" x14ac:dyDescent="0.25"/>
  <cols>
    <col min="1" max="11" width="9.140625" style="6" customWidth="1"/>
    <col min="12" max="15" width="9.140625" style="4" hidden="1" customWidth="1"/>
    <col min="16" max="21" width="0" style="4" hidden="1" customWidth="1"/>
    <col min="22" max="16384" width="9.140625" style="4" hidden="1"/>
  </cols>
  <sheetData>
    <row r="1" spans="1:21" s="3" customFormat="1" ht="70.5" customHeight="1" x14ac:dyDescent="0.25">
      <c r="A1" s="258" t="s">
        <v>366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5"/>
      <c r="M1" s="5"/>
      <c r="N1" s="5"/>
      <c r="O1" s="5"/>
      <c r="P1" s="5"/>
    </row>
    <row r="2" spans="1:21" x14ac:dyDescent="0.25">
      <c r="A2" s="256" t="s">
        <v>35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21" ht="379.5" customHeight="1" x14ac:dyDescent="0.25">
      <c r="A3" s="259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2"/>
      <c r="M3" s="23"/>
      <c r="N3" s="23"/>
      <c r="O3" s="23"/>
      <c r="P3" s="23"/>
      <c r="Q3" s="23"/>
      <c r="R3" s="23"/>
      <c r="S3" s="23"/>
      <c r="T3" s="23"/>
      <c r="U3" s="23"/>
    </row>
    <row r="4" spans="1:21" x14ac:dyDescent="0.25">
      <c r="A4" s="256" t="s">
        <v>139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1"/>
      <c r="M4" s="1"/>
      <c r="N4" s="1"/>
      <c r="O4" s="1"/>
      <c r="P4" s="1"/>
    </row>
    <row r="5" spans="1:21" ht="300" customHeight="1" x14ac:dyDescent="0.25"/>
  </sheetData>
  <mergeCells count="4">
    <mergeCell ref="A4:K4"/>
    <mergeCell ref="A1:K1"/>
    <mergeCell ref="A2:K2"/>
    <mergeCell ref="A3:K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40961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66675</xdr:rowOff>
              </from>
              <to>
                <xdr:col>10</xdr:col>
                <xdr:colOff>581025</xdr:colOff>
                <xdr:row>3</xdr:row>
                <xdr:rowOff>28575</xdr:rowOff>
              </to>
            </anchor>
          </objectPr>
        </oleObject>
      </mc:Choice>
      <mc:Fallback>
        <oleObject progId="PowerPoint.Slide.12" shapeId="4096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900"/>
  </sheetPr>
  <dimension ref="A1:S127"/>
  <sheetViews>
    <sheetView showGridLines="0" view="pageBreakPreview" topLeftCell="A22" zoomScale="60" zoomScaleNormal="60" workbookViewId="0">
      <selection activeCell="A104" sqref="A104:A105"/>
    </sheetView>
  </sheetViews>
  <sheetFormatPr defaultColWidth="9.140625" defaultRowHeight="23.25" zeroHeight="1" x14ac:dyDescent="0.35"/>
  <cols>
    <col min="1" max="1" width="74.7109375" style="53" customWidth="1"/>
    <col min="2" max="2" width="81" style="54" customWidth="1"/>
    <col min="3" max="3" width="11.5703125" style="55" customWidth="1"/>
    <col min="4" max="4" width="16.42578125" style="54" customWidth="1"/>
    <col min="5" max="5" width="17" style="54" customWidth="1"/>
    <col min="6" max="6" width="17" style="56" customWidth="1"/>
    <col min="7" max="9" width="17" style="26" hidden="1" customWidth="1"/>
    <col min="10" max="10" width="13.7109375" style="24" hidden="1" customWidth="1"/>
    <col min="11" max="11" width="21.5703125" style="24" hidden="1" customWidth="1"/>
    <col min="12" max="12" width="11.85546875" style="24" customWidth="1"/>
    <col min="13" max="13" width="10.7109375" style="24" customWidth="1"/>
    <col min="14" max="14" width="9.140625" style="24" customWidth="1"/>
    <col min="15" max="16384" width="9.140625" style="24"/>
  </cols>
  <sheetData>
    <row r="1" spans="1:19" s="25" customFormat="1" ht="48" customHeight="1" x14ac:dyDescent="0.35">
      <c r="A1" s="264" t="s">
        <v>367</v>
      </c>
      <c r="B1" s="265"/>
      <c r="C1" s="265"/>
      <c r="D1" s="265"/>
      <c r="E1" s="265"/>
      <c r="F1" s="265"/>
      <c r="G1" s="141"/>
      <c r="H1" s="141"/>
      <c r="I1" s="141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25" customFormat="1" ht="45" customHeight="1" x14ac:dyDescent="0.35">
      <c r="A2" s="266" t="s">
        <v>382</v>
      </c>
      <c r="B2" s="266"/>
      <c r="C2" s="266"/>
      <c r="D2" s="266"/>
      <c r="E2" s="266"/>
      <c r="F2" s="266"/>
      <c r="G2" s="26"/>
      <c r="H2" s="26"/>
      <c r="I2" s="26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s="25" customFormat="1" ht="45" customHeight="1" x14ac:dyDescent="0.35">
      <c r="A3" s="266" t="s">
        <v>33</v>
      </c>
      <c r="B3" s="266"/>
      <c r="C3" s="266"/>
      <c r="D3" s="266"/>
      <c r="E3" s="266"/>
      <c r="F3" s="266"/>
    </row>
    <row r="4" spans="1:19" s="25" customFormat="1" ht="21" customHeight="1" thickBot="1" x14ac:dyDescent="0.4">
      <c r="A4" s="27"/>
      <c r="B4" s="27"/>
      <c r="C4" s="27"/>
      <c r="D4" s="27"/>
      <c r="E4" s="27"/>
      <c r="F4" s="28"/>
      <c r="G4" s="26"/>
      <c r="H4" s="26"/>
      <c r="I4" s="26"/>
    </row>
    <row r="5" spans="1:19" s="25" customFormat="1" ht="45" customHeight="1" x14ac:dyDescent="0.35">
      <c r="A5" s="290" t="s">
        <v>58</v>
      </c>
      <c r="B5" s="291"/>
      <c r="C5" s="291"/>
      <c r="D5" s="291"/>
      <c r="E5" s="292"/>
      <c r="F5" s="293"/>
      <c r="G5" s="199"/>
      <c r="H5" s="59"/>
      <c r="I5" s="59"/>
    </row>
    <row r="6" spans="1:19" s="25" customFormat="1" ht="45" customHeight="1" x14ac:dyDescent="0.35">
      <c r="A6" s="146" t="s">
        <v>19</v>
      </c>
      <c r="B6" s="294" t="s">
        <v>55</v>
      </c>
      <c r="C6" s="295"/>
      <c r="D6" s="177" t="s">
        <v>56</v>
      </c>
      <c r="E6" s="147" t="s">
        <v>338</v>
      </c>
      <c r="F6" s="148" t="s">
        <v>339</v>
      </c>
      <c r="G6" s="200" t="s">
        <v>338</v>
      </c>
      <c r="H6" s="59"/>
      <c r="I6" s="59"/>
    </row>
    <row r="7" spans="1:19" s="25" customFormat="1" ht="30.75" customHeight="1" x14ac:dyDescent="0.35">
      <c r="A7" s="296" t="s">
        <v>235</v>
      </c>
      <c r="B7" s="29" t="s">
        <v>164</v>
      </c>
      <c r="C7" s="298" t="s">
        <v>80</v>
      </c>
      <c r="D7" s="300" t="s">
        <v>75</v>
      </c>
      <c r="E7" s="267">
        <v>0.46</v>
      </c>
      <c r="F7" s="272"/>
      <c r="G7" s="262">
        <v>0.46</v>
      </c>
      <c r="H7" s="198" t="b">
        <f>G7=E7</f>
        <v>1</v>
      </c>
      <c r="I7" s="304"/>
      <c r="M7" s="24"/>
      <c r="N7" s="24"/>
      <c r="O7" s="24"/>
      <c r="P7" s="24"/>
      <c r="Q7" s="24"/>
      <c r="R7" s="24"/>
      <c r="S7" s="24"/>
    </row>
    <row r="8" spans="1:19" s="25" customFormat="1" ht="30.75" customHeight="1" x14ac:dyDescent="0.35">
      <c r="A8" s="297"/>
      <c r="B8" s="30" t="s">
        <v>165</v>
      </c>
      <c r="C8" s="299"/>
      <c r="D8" s="300"/>
      <c r="E8" s="267"/>
      <c r="F8" s="272"/>
      <c r="G8" s="262"/>
      <c r="H8" s="198"/>
      <c r="I8" s="304"/>
      <c r="M8" s="24"/>
      <c r="N8" s="24"/>
      <c r="O8" s="24"/>
      <c r="P8" s="24"/>
      <c r="Q8" s="24"/>
      <c r="R8" s="24"/>
      <c r="S8" s="24"/>
    </row>
    <row r="9" spans="1:19" s="25" customFormat="1" ht="24" customHeight="1" x14ac:dyDescent="0.35">
      <c r="A9" s="31"/>
      <c r="B9" s="32"/>
      <c r="C9" s="32"/>
      <c r="D9" s="32"/>
      <c r="E9" s="32"/>
      <c r="F9" s="33"/>
      <c r="G9" s="199"/>
      <c r="H9" s="59"/>
      <c r="I9" s="59"/>
      <c r="M9" s="24"/>
      <c r="N9" s="24"/>
      <c r="O9" s="24"/>
      <c r="P9" s="24"/>
      <c r="Q9" s="24"/>
      <c r="R9" s="24"/>
      <c r="S9" s="24"/>
    </row>
    <row r="10" spans="1:19" s="25" customFormat="1" ht="45" customHeight="1" x14ac:dyDescent="0.35">
      <c r="A10" s="301" t="s">
        <v>57</v>
      </c>
      <c r="B10" s="301"/>
      <c r="C10" s="301"/>
      <c r="D10" s="301"/>
      <c r="E10" s="301"/>
      <c r="F10" s="301"/>
      <c r="G10" s="199"/>
      <c r="H10" s="59"/>
      <c r="I10" s="59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s="25" customFormat="1" ht="45" customHeight="1" x14ac:dyDescent="0.35">
      <c r="A11" s="149" t="s">
        <v>20</v>
      </c>
      <c r="B11" s="268" t="s">
        <v>55</v>
      </c>
      <c r="C11" s="268"/>
      <c r="D11" s="150" t="s">
        <v>56</v>
      </c>
      <c r="E11" s="150" t="s">
        <v>338</v>
      </c>
      <c r="F11" s="150" t="s">
        <v>339</v>
      </c>
      <c r="G11" s="200" t="s">
        <v>338</v>
      </c>
      <c r="H11" s="59"/>
      <c r="I11" s="59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 s="25" customFormat="1" ht="34.5" customHeight="1" x14ac:dyDescent="0.35">
      <c r="A12" s="286" t="s">
        <v>236</v>
      </c>
      <c r="B12" s="34" t="s">
        <v>166</v>
      </c>
      <c r="C12" s="285" t="s">
        <v>80</v>
      </c>
      <c r="D12" s="285" t="s">
        <v>167</v>
      </c>
      <c r="E12" s="262">
        <v>0.2</v>
      </c>
      <c r="F12" s="262">
        <v>0.2</v>
      </c>
      <c r="G12" s="262">
        <v>0.2</v>
      </c>
      <c r="H12" s="198" t="b">
        <f>G12=E12</f>
        <v>1</v>
      </c>
      <c r="I12" s="30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s="25" customFormat="1" ht="34.5" customHeight="1" x14ac:dyDescent="0.35">
      <c r="A13" s="286"/>
      <c r="B13" s="35" t="s">
        <v>168</v>
      </c>
      <c r="C13" s="285"/>
      <c r="D13" s="285"/>
      <c r="E13" s="262"/>
      <c r="F13" s="262"/>
      <c r="G13" s="262"/>
      <c r="H13" s="198"/>
      <c r="I13" s="30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s="25" customFormat="1" ht="34.5" customHeight="1" x14ac:dyDescent="0.35">
      <c r="A14" s="286" t="s">
        <v>237</v>
      </c>
      <c r="B14" s="34" t="s">
        <v>169</v>
      </c>
      <c r="C14" s="285" t="s">
        <v>80</v>
      </c>
      <c r="D14" s="285" t="s">
        <v>167</v>
      </c>
      <c r="E14" s="262">
        <v>7.0000000000000007E-2</v>
      </c>
      <c r="F14" s="262"/>
      <c r="G14" s="262">
        <v>7.0000000000000007E-2</v>
      </c>
      <c r="H14" s="198" t="b">
        <f>G14=E14</f>
        <v>1</v>
      </c>
      <c r="I14" s="304"/>
      <c r="J14" s="24"/>
      <c r="K14" s="24"/>
      <c r="L14" s="24"/>
      <c r="M14" s="24"/>
      <c r="N14" s="24"/>
      <c r="O14" s="24"/>
      <c r="P14" s="24"/>
      <c r="Q14" s="24"/>
      <c r="R14" s="24"/>
      <c r="S14" s="24"/>
    </row>
    <row r="15" spans="1:19" s="25" customFormat="1" ht="34.5" customHeight="1" x14ac:dyDescent="0.35">
      <c r="A15" s="286"/>
      <c r="B15" s="35" t="s">
        <v>170</v>
      </c>
      <c r="C15" s="285"/>
      <c r="D15" s="285"/>
      <c r="E15" s="262"/>
      <c r="F15" s="262"/>
      <c r="G15" s="262"/>
      <c r="H15" s="198"/>
      <c r="I15" s="304"/>
      <c r="J15" s="24"/>
      <c r="K15" s="24"/>
      <c r="L15" s="24"/>
      <c r="M15" s="24"/>
      <c r="N15" s="24"/>
      <c r="O15" s="24"/>
      <c r="P15" s="24"/>
      <c r="Q15" s="24"/>
      <c r="R15" s="24"/>
      <c r="S15" s="24"/>
    </row>
    <row r="16" spans="1:19" s="25" customFormat="1" ht="34.5" customHeight="1" x14ac:dyDescent="0.35">
      <c r="A16" s="286" t="s">
        <v>238</v>
      </c>
      <c r="B16" s="306" t="s">
        <v>171</v>
      </c>
      <c r="C16" s="306"/>
      <c r="D16" s="285" t="s">
        <v>167</v>
      </c>
      <c r="E16" s="308">
        <v>2.52</v>
      </c>
      <c r="F16" s="279">
        <v>0.23040782718202074</v>
      </c>
      <c r="G16" s="313">
        <v>2.52</v>
      </c>
      <c r="H16" s="198" t="b">
        <f>G16=E16</f>
        <v>1</v>
      </c>
      <c r="I16" s="305" t="e">
        <f>#REF!/12/#REF!</f>
        <v>#REF!</v>
      </c>
      <c r="J16" s="304" t="e">
        <f>I16=F16</f>
        <v>#REF!</v>
      </c>
      <c r="K16" s="55"/>
      <c r="L16" s="55"/>
      <c r="M16" s="55"/>
      <c r="N16" s="24"/>
      <c r="O16" s="24"/>
      <c r="P16" s="24"/>
      <c r="Q16" s="24"/>
      <c r="R16" s="24"/>
      <c r="S16" s="24"/>
    </row>
    <row r="17" spans="1:19" s="25" customFormat="1" ht="34.5" customHeight="1" x14ac:dyDescent="0.35">
      <c r="A17" s="286"/>
      <c r="B17" s="307" t="s">
        <v>172</v>
      </c>
      <c r="C17" s="307"/>
      <c r="D17" s="285"/>
      <c r="E17" s="309"/>
      <c r="F17" s="279"/>
      <c r="G17" s="313"/>
      <c r="H17" s="198"/>
      <c r="I17" s="305"/>
      <c r="J17" s="304"/>
      <c r="K17" s="55"/>
      <c r="L17" s="55"/>
      <c r="M17" s="55"/>
      <c r="N17" s="24"/>
      <c r="O17" s="24"/>
      <c r="P17" s="24"/>
      <c r="Q17" s="24"/>
      <c r="R17" s="24"/>
      <c r="S17" s="24"/>
    </row>
    <row r="18" spans="1:19" s="25" customFormat="1" ht="34.5" customHeight="1" x14ac:dyDescent="0.35">
      <c r="A18" s="286" t="s">
        <v>239</v>
      </c>
      <c r="B18" s="34" t="s">
        <v>173</v>
      </c>
      <c r="C18" s="285" t="s">
        <v>80</v>
      </c>
      <c r="D18" s="285" t="s">
        <v>167</v>
      </c>
      <c r="E18" s="289">
        <v>0.7</v>
      </c>
      <c r="F18" s="287">
        <v>0.7</v>
      </c>
      <c r="G18" s="283">
        <v>0.7</v>
      </c>
      <c r="H18" s="198" t="b">
        <f>G18=E18</f>
        <v>1</v>
      </c>
      <c r="I18" s="30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25" customFormat="1" ht="34.5" customHeight="1" x14ac:dyDescent="0.35">
      <c r="A19" s="286"/>
      <c r="B19" s="35" t="s">
        <v>174</v>
      </c>
      <c r="C19" s="285"/>
      <c r="D19" s="285"/>
      <c r="E19" s="289"/>
      <c r="F19" s="288"/>
      <c r="G19" s="283"/>
      <c r="H19" s="198"/>
      <c r="I19" s="30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s="25" customFormat="1" ht="34.5" customHeight="1" x14ac:dyDescent="0.35">
      <c r="A20" s="286" t="s">
        <v>240</v>
      </c>
      <c r="B20" s="34" t="s">
        <v>175</v>
      </c>
      <c r="C20" s="285" t="s">
        <v>80</v>
      </c>
      <c r="D20" s="285" t="s">
        <v>82</v>
      </c>
      <c r="E20" s="287">
        <v>0.22</v>
      </c>
      <c r="F20" s="287">
        <v>0.22</v>
      </c>
      <c r="G20" s="262">
        <v>0.22</v>
      </c>
      <c r="H20" s="198" t="b">
        <f>G20=E20</f>
        <v>1</v>
      </c>
      <c r="I20" s="30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s="25" customFormat="1" ht="34.5" customHeight="1" x14ac:dyDescent="0.35">
      <c r="A21" s="286"/>
      <c r="B21" s="35" t="s">
        <v>176</v>
      </c>
      <c r="C21" s="285"/>
      <c r="D21" s="285"/>
      <c r="E21" s="288"/>
      <c r="F21" s="288"/>
      <c r="G21" s="262"/>
      <c r="H21" s="198"/>
      <c r="I21" s="30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s="25" customFormat="1" ht="34.5" customHeight="1" x14ac:dyDescent="0.35">
      <c r="A22" s="286" t="s">
        <v>241</v>
      </c>
      <c r="B22" s="34" t="s">
        <v>177</v>
      </c>
      <c r="C22" s="285" t="s">
        <v>80</v>
      </c>
      <c r="D22" s="285" t="s">
        <v>82</v>
      </c>
      <c r="E22" s="262">
        <v>0.05</v>
      </c>
      <c r="F22" s="262">
        <v>0.05</v>
      </c>
      <c r="G22" s="262">
        <v>0.05</v>
      </c>
      <c r="H22" s="198" t="b">
        <f>G22=E22</f>
        <v>1</v>
      </c>
      <c r="I22" s="30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25" customFormat="1" ht="34.5" customHeight="1" x14ac:dyDescent="0.35">
      <c r="A23" s="286"/>
      <c r="B23" s="35" t="s">
        <v>178</v>
      </c>
      <c r="C23" s="285"/>
      <c r="D23" s="285"/>
      <c r="E23" s="262"/>
      <c r="F23" s="262"/>
      <c r="G23" s="262"/>
      <c r="H23" s="198"/>
      <c r="I23" s="30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s="25" customFormat="1" ht="34.5" customHeight="1" x14ac:dyDescent="0.35">
      <c r="A24" s="286" t="s">
        <v>242</v>
      </c>
      <c r="B24" s="34" t="s">
        <v>179</v>
      </c>
      <c r="C24" s="285" t="s">
        <v>80</v>
      </c>
      <c r="D24" s="285" t="s">
        <v>81</v>
      </c>
      <c r="E24" s="262">
        <v>7.0000000000000007E-2</v>
      </c>
      <c r="F24" s="262">
        <v>7.0000000000000007E-2</v>
      </c>
      <c r="G24" s="262">
        <v>7.0000000000000007E-2</v>
      </c>
      <c r="H24" s="198" t="b">
        <f>G24=E24</f>
        <v>1</v>
      </c>
      <c r="I24" s="30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s="25" customFormat="1" ht="34.5" customHeight="1" x14ac:dyDescent="0.35">
      <c r="A25" s="286"/>
      <c r="B25" s="35" t="s">
        <v>180</v>
      </c>
      <c r="C25" s="285"/>
      <c r="D25" s="285"/>
      <c r="E25" s="262"/>
      <c r="F25" s="262"/>
      <c r="G25" s="262"/>
      <c r="H25" s="198"/>
      <c r="I25" s="30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s="25" customFormat="1" ht="34.5" customHeight="1" x14ac:dyDescent="0.35">
      <c r="A26" s="286" t="s">
        <v>243</v>
      </c>
      <c r="B26" s="34" t="s">
        <v>181</v>
      </c>
      <c r="C26" s="285" t="s">
        <v>80</v>
      </c>
      <c r="D26" s="285" t="s">
        <v>81</v>
      </c>
      <c r="E26" s="262">
        <v>0.3</v>
      </c>
      <c r="F26" s="262">
        <v>0.3</v>
      </c>
      <c r="G26" s="262">
        <v>0.3</v>
      </c>
      <c r="H26" s="198" t="b">
        <f>G26=E26</f>
        <v>1</v>
      </c>
      <c r="I26" s="30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s="25" customFormat="1" ht="34.5" customHeight="1" x14ac:dyDescent="0.35">
      <c r="A27" s="286"/>
      <c r="B27" s="35" t="s">
        <v>169</v>
      </c>
      <c r="C27" s="285"/>
      <c r="D27" s="285"/>
      <c r="E27" s="262"/>
      <c r="F27" s="262"/>
      <c r="G27" s="262"/>
      <c r="H27" s="198"/>
      <c r="I27" s="30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s="25" customFormat="1" ht="34.5" customHeight="1" x14ac:dyDescent="0.35">
      <c r="A28" s="286" t="s">
        <v>244</v>
      </c>
      <c r="B28" s="34" t="s">
        <v>182</v>
      </c>
      <c r="C28" s="285" t="s">
        <v>80</v>
      </c>
      <c r="D28" s="285" t="s">
        <v>81</v>
      </c>
      <c r="E28" s="262">
        <v>0.38</v>
      </c>
      <c r="F28" s="262">
        <v>0.38</v>
      </c>
      <c r="G28" s="262">
        <v>0.38</v>
      </c>
      <c r="H28" s="198" t="b">
        <f>G28=E28</f>
        <v>1</v>
      </c>
      <c r="I28" s="30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1:19" s="25" customFormat="1" ht="34.5" customHeight="1" x14ac:dyDescent="0.35">
      <c r="A29" s="286"/>
      <c r="B29" s="35" t="s">
        <v>170</v>
      </c>
      <c r="C29" s="285"/>
      <c r="D29" s="285"/>
      <c r="E29" s="262"/>
      <c r="F29" s="262"/>
      <c r="G29" s="262"/>
      <c r="H29" s="198"/>
      <c r="I29" s="304"/>
      <c r="J29" s="24"/>
      <c r="K29" s="24"/>
      <c r="L29" s="24"/>
      <c r="M29" s="24"/>
      <c r="N29" s="24"/>
      <c r="O29" s="24"/>
      <c r="P29" s="24"/>
      <c r="Q29" s="24"/>
      <c r="R29" s="24"/>
      <c r="S29" s="24"/>
    </row>
    <row r="30" spans="1:19" s="25" customFormat="1" ht="34.5" customHeight="1" x14ac:dyDescent="0.35">
      <c r="A30" s="286" t="s">
        <v>245</v>
      </c>
      <c r="B30" s="34" t="s">
        <v>183</v>
      </c>
      <c r="C30" s="285" t="s">
        <v>80</v>
      </c>
      <c r="D30" s="285" t="s">
        <v>81</v>
      </c>
      <c r="E30" s="262">
        <v>0.32</v>
      </c>
      <c r="F30" s="262">
        <v>0.32</v>
      </c>
      <c r="G30" s="262">
        <v>0.32</v>
      </c>
      <c r="H30" s="198" t="b">
        <f>G30=E30</f>
        <v>1</v>
      </c>
      <c r="I30" s="30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 s="25" customFormat="1" ht="34.5" customHeight="1" x14ac:dyDescent="0.35">
      <c r="A31" s="286"/>
      <c r="B31" s="35" t="s">
        <v>184</v>
      </c>
      <c r="C31" s="285"/>
      <c r="D31" s="285"/>
      <c r="E31" s="262"/>
      <c r="F31" s="262"/>
      <c r="G31" s="262"/>
      <c r="H31" s="198"/>
      <c r="I31" s="304"/>
      <c r="J31" s="24"/>
      <c r="K31" s="24"/>
      <c r="L31" s="24"/>
      <c r="M31" s="24"/>
      <c r="N31" s="24"/>
      <c r="O31" s="24"/>
      <c r="P31" s="24"/>
      <c r="Q31" s="24"/>
      <c r="R31" s="24"/>
      <c r="S31" s="24"/>
    </row>
    <row r="32" spans="1:19" s="145" customFormat="1" ht="45" customHeight="1" x14ac:dyDescent="0.35">
      <c r="A32" s="149" t="s">
        <v>21</v>
      </c>
      <c r="B32" s="268" t="s">
        <v>55</v>
      </c>
      <c r="C32" s="268"/>
      <c r="D32" s="150" t="s">
        <v>56</v>
      </c>
      <c r="E32" s="150" t="s">
        <v>338</v>
      </c>
      <c r="F32" s="150" t="s">
        <v>339</v>
      </c>
      <c r="G32" s="200" t="s">
        <v>338</v>
      </c>
      <c r="H32" s="198"/>
      <c r="I32" s="60"/>
      <c r="J32" s="25"/>
      <c r="K32" s="25"/>
      <c r="L32" s="25"/>
      <c r="M32" s="25"/>
      <c r="N32" s="25"/>
      <c r="O32" s="25"/>
      <c r="P32" s="25"/>
    </row>
    <row r="33" spans="1:19" s="25" customFormat="1" ht="34.5" customHeight="1" x14ac:dyDescent="0.35">
      <c r="A33" s="286" t="s">
        <v>246</v>
      </c>
      <c r="B33" s="34" t="s">
        <v>231</v>
      </c>
      <c r="C33" s="285" t="s">
        <v>80</v>
      </c>
      <c r="D33" s="285" t="s">
        <v>76</v>
      </c>
      <c r="E33" s="262">
        <v>0.65</v>
      </c>
      <c r="F33" s="272">
        <v>0.9</v>
      </c>
      <c r="G33" s="262">
        <v>0.65</v>
      </c>
      <c r="H33" s="198" t="b">
        <f>G33=E33</f>
        <v>1</v>
      </c>
      <c r="I33" s="304"/>
      <c r="J33" s="24"/>
      <c r="K33" s="24"/>
      <c r="L33" s="24"/>
      <c r="M33" s="24"/>
      <c r="N33" s="24"/>
      <c r="O33" s="24"/>
      <c r="P33" s="24"/>
      <c r="Q33" s="24"/>
      <c r="R33" s="24"/>
      <c r="S33" s="24"/>
    </row>
    <row r="34" spans="1:19" s="25" customFormat="1" ht="34.5" customHeight="1" x14ac:dyDescent="0.35">
      <c r="A34" s="286"/>
      <c r="B34" s="35" t="s">
        <v>232</v>
      </c>
      <c r="C34" s="285"/>
      <c r="D34" s="285"/>
      <c r="E34" s="262"/>
      <c r="F34" s="272"/>
      <c r="G34" s="262"/>
      <c r="H34" s="198"/>
      <c r="I34" s="30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19" s="25" customFormat="1" ht="34.5" customHeight="1" x14ac:dyDescent="0.35">
      <c r="A35" s="286" t="s">
        <v>247</v>
      </c>
      <c r="B35" s="34" t="s">
        <v>83</v>
      </c>
      <c r="C35" s="285" t="s">
        <v>80</v>
      </c>
      <c r="D35" s="285" t="s">
        <v>76</v>
      </c>
      <c r="E35" s="262">
        <v>0.95</v>
      </c>
      <c r="F35" s="272">
        <v>0.95</v>
      </c>
      <c r="G35" s="262">
        <v>0.95</v>
      </c>
      <c r="H35" s="198" t="b">
        <f>G35=E35</f>
        <v>1</v>
      </c>
      <c r="I35" s="30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s="25" customFormat="1" ht="34.5" customHeight="1" x14ac:dyDescent="0.35">
      <c r="A36" s="286"/>
      <c r="B36" s="35" t="s">
        <v>84</v>
      </c>
      <c r="C36" s="285"/>
      <c r="D36" s="285"/>
      <c r="E36" s="262"/>
      <c r="F36" s="272"/>
      <c r="G36" s="262"/>
      <c r="H36" s="198"/>
      <c r="I36" s="30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1:19" s="25" customFormat="1" ht="34.5" customHeight="1" x14ac:dyDescent="0.35">
      <c r="A37" s="286" t="s">
        <v>248</v>
      </c>
      <c r="B37" s="34" t="s">
        <v>185</v>
      </c>
      <c r="C37" s="285" t="s">
        <v>80</v>
      </c>
      <c r="D37" s="285" t="s">
        <v>76</v>
      </c>
      <c r="E37" s="262">
        <v>0.8</v>
      </c>
      <c r="F37" s="272">
        <v>0.8</v>
      </c>
      <c r="G37" s="262">
        <v>0.8</v>
      </c>
      <c r="H37" s="198" t="b">
        <f>G37=E37</f>
        <v>1</v>
      </c>
      <c r="I37" s="304"/>
      <c r="J37" s="24"/>
      <c r="K37" s="24"/>
      <c r="L37" s="24"/>
      <c r="M37" s="24"/>
      <c r="N37" s="24"/>
      <c r="O37" s="24"/>
      <c r="P37" s="24"/>
      <c r="Q37" s="24"/>
      <c r="R37" s="24"/>
      <c r="S37" s="24"/>
    </row>
    <row r="38" spans="1:19" s="25" customFormat="1" ht="34.5" customHeight="1" x14ac:dyDescent="0.35">
      <c r="A38" s="286"/>
      <c r="B38" s="35" t="s">
        <v>186</v>
      </c>
      <c r="C38" s="285"/>
      <c r="D38" s="285"/>
      <c r="E38" s="262"/>
      <c r="F38" s="272"/>
      <c r="G38" s="262"/>
      <c r="H38" s="198"/>
      <c r="I38" s="304"/>
      <c r="J38" s="24"/>
      <c r="K38" s="24"/>
      <c r="L38" s="24"/>
      <c r="M38" s="24"/>
      <c r="N38" s="24"/>
      <c r="O38" s="24"/>
      <c r="P38" s="24"/>
      <c r="Q38" s="24"/>
      <c r="R38" s="24"/>
      <c r="S38" s="24"/>
    </row>
    <row r="39" spans="1:19" s="25" customFormat="1" ht="45" customHeight="1" x14ac:dyDescent="0.35">
      <c r="A39" s="149" t="s">
        <v>22</v>
      </c>
      <c r="B39" s="268" t="s">
        <v>55</v>
      </c>
      <c r="C39" s="268"/>
      <c r="D39" s="150" t="s">
        <v>56</v>
      </c>
      <c r="E39" s="150" t="s">
        <v>338</v>
      </c>
      <c r="F39" s="150" t="s">
        <v>339</v>
      </c>
      <c r="G39" s="200" t="s">
        <v>338</v>
      </c>
      <c r="H39" s="198"/>
      <c r="I39" s="60"/>
      <c r="J39" s="24"/>
      <c r="K39" s="24"/>
      <c r="L39" s="24"/>
      <c r="M39" s="24"/>
      <c r="N39" s="24"/>
      <c r="O39" s="24"/>
      <c r="P39" s="24"/>
      <c r="Q39" s="24"/>
      <c r="R39" s="24"/>
      <c r="S39" s="24"/>
    </row>
    <row r="40" spans="1:19" s="25" customFormat="1" ht="34.5" customHeight="1" x14ac:dyDescent="0.35">
      <c r="A40" s="269" t="s">
        <v>249</v>
      </c>
      <c r="B40" s="36" t="s">
        <v>187</v>
      </c>
      <c r="C40" s="285" t="s">
        <v>80</v>
      </c>
      <c r="D40" s="270" t="s">
        <v>188</v>
      </c>
      <c r="E40" s="262">
        <v>1</v>
      </c>
      <c r="F40" s="272">
        <v>1</v>
      </c>
      <c r="G40" s="262">
        <v>1</v>
      </c>
      <c r="H40" s="198" t="b">
        <f>G40=E40</f>
        <v>1</v>
      </c>
      <c r="I40" s="304"/>
      <c r="J40" s="24"/>
      <c r="K40" s="24"/>
      <c r="L40" s="24"/>
      <c r="M40" s="24"/>
      <c r="N40" s="24"/>
      <c r="O40" s="24"/>
      <c r="P40" s="24"/>
      <c r="Q40" s="24"/>
      <c r="R40" s="24"/>
      <c r="S40" s="24"/>
    </row>
    <row r="41" spans="1:19" s="25" customFormat="1" ht="34.5" customHeight="1" x14ac:dyDescent="0.35">
      <c r="A41" s="269"/>
      <c r="B41" s="37" t="s">
        <v>189</v>
      </c>
      <c r="C41" s="285"/>
      <c r="D41" s="270"/>
      <c r="E41" s="262"/>
      <c r="F41" s="272"/>
      <c r="G41" s="262"/>
      <c r="H41" s="198"/>
      <c r="I41" s="304"/>
      <c r="J41" s="24"/>
      <c r="K41" s="24"/>
      <c r="L41" s="24"/>
      <c r="M41" s="24"/>
      <c r="N41" s="24"/>
      <c r="O41" s="24"/>
      <c r="P41" s="24"/>
      <c r="Q41" s="24"/>
      <c r="R41" s="24"/>
      <c r="S41" s="24"/>
    </row>
    <row r="42" spans="1:19" s="25" customFormat="1" ht="34.5" customHeight="1" x14ac:dyDescent="0.35">
      <c r="A42" s="269" t="s">
        <v>250</v>
      </c>
      <c r="B42" s="36" t="s">
        <v>190</v>
      </c>
      <c r="C42" s="285" t="s">
        <v>80</v>
      </c>
      <c r="D42" s="270" t="s">
        <v>82</v>
      </c>
      <c r="E42" s="262"/>
      <c r="F42" s="272"/>
      <c r="G42" s="272"/>
      <c r="H42" s="198" t="b">
        <f>G42=E42</f>
        <v>1</v>
      </c>
      <c r="I42" s="304"/>
      <c r="J42" s="24"/>
      <c r="K42" s="24"/>
      <c r="L42" s="24"/>
      <c r="M42" s="24"/>
      <c r="N42" s="24"/>
      <c r="O42" s="24"/>
      <c r="P42" s="24"/>
      <c r="Q42" s="24"/>
      <c r="R42" s="24"/>
      <c r="S42" s="24"/>
    </row>
    <row r="43" spans="1:19" s="25" customFormat="1" ht="34.5" customHeight="1" x14ac:dyDescent="0.35">
      <c r="A43" s="269"/>
      <c r="B43" s="37" t="s">
        <v>191</v>
      </c>
      <c r="C43" s="285"/>
      <c r="D43" s="270"/>
      <c r="E43" s="262"/>
      <c r="F43" s="272"/>
      <c r="G43" s="272"/>
      <c r="H43" s="198"/>
      <c r="I43" s="30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1:19" s="25" customFormat="1" ht="34.5" customHeight="1" x14ac:dyDescent="0.35">
      <c r="A44" s="269" t="s">
        <v>251</v>
      </c>
      <c r="B44" s="273" t="s">
        <v>192</v>
      </c>
      <c r="C44" s="273"/>
      <c r="D44" s="270" t="s">
        <v>82</v>
      </c>
      <c r="E44" s="263"/>
      <c r="F44" s="284"/>
      <c r="G44" s="284"/>
      <c r="H44" s="198" t="b">
        <f>G44=E44</f>
        <v>1</v>
      </c>
      <c r="I44" s="310"/>
      <c r="J44" s="24"/>
      <c r="K44" s="24"/>
      <c r="L44" s="24"/>
      <c r="M44" s="24"/>
      <c r="N44" s="24"/>
      <c r="O44" s="24"/>
      <c r="P44" s="24"/>
      <c r="Q44" s="24"/>
      <c r="R44" s="24"/>
      <c r="S44" s="24"/>
    </row>
    <row r="45" spans="1:19" s="25" customFormat="1" ht="34.5" customHeight="1" x14ac:dyDescent="0.35">
      <c r="A45" s="269"/>
      <c r="B45" s="275" t="s">
        <v>193</v>
      </c>
      <c r="C45" s="275"/>
      <c r="D45" s="270"/>
      <c r="E45" s="263"/>
      <c r="F45" s="284"/>
      <c r="G45" s="284"/>
      <c r="H45" s="198"/>
      <c r="I45" s="310"/>
      <c r="J45" s="24"/>
      <c r="K45" s="24"/>
      <c r="L45" s="24"/>
      <c r="M45" s="24"/>
      <c r="N45" s="24"/>
      <c r="O45" s="24"/>
      <c r="P45" s="24"/>
      <c r="Q45" s="24"/>
      <c r="R45" s="24"/>
      <c r="S45" s="24"/>
    </row>
    <row r="46" spans="1:19" s="25" customFormat="1" ht="34.5" customHeight="1" x14ac:dyDescent="0.35">
      <c r="A46" s="269" t="s">
        <v>252</v>
      </c>
      <c r="B46" s="36" t="s">
        <v>194</v>
      </c>
      <c r="C46" s="271" t="s">
        <v>80</v>
      </c>
      <c r="D46" s="270" t="s">
        <v>82</v>
      </c>
      <c r="E46" s="262"/>
      <c r="F46" s="272"/>
      <c r="G46" s="272"/>
      <c r="H46" s="198" t="b">
        <f>G46=E46</f>
        <v>1</v>
      </c>
      <c r="I46" s="304"/>
      <c r="J46" s="24"/>
      <c r="K46" s="24"/>
      <c r="L46" s="24"/>
      <c r="M46" s="24"/>
      <c r="N46" s="24"/>
      <c r="O46" s="24"/>
      <c r="P46" s="24"/>
      <c r="Q46" s="24"/>
      <c r="R46" s="24"/>
      <c r="S46" s="24"/>
    </row>
    <row r="47" spans="1:19" ht="34.5" customHeight="1" x14ac:dyDescent="0.35">
      <c r="A47" s="269"/>
      <c r="B47" s="37" t="s">
        <v>195</v>
      </c>
      <c r="C47" s="271"/>
      <c r="D47" s="270"/>
      <c r="E47" s="262"/>
      <c r="F47" s="272"/>
      <c r="G47" s="272"/>
      <c r="H47" s="198"/>
      <c r="I47" s="304"/>
    </row>
    <row r="48" spans="1:19" s="25" customFormat="1" ht="45" customHeight="1" x14ac:dyDescent="0.35">
      <c r="A48" s="149" t="s">
        <v>23</v>
      </c>
      <c r="B48" s="268" t="s">
        <v>55</v>
      </c>
      <c r="C48" s="268"/>
      <c r="D48" s="150" t="s">
        <v>56</v>
      </c>
      <c r="E48" s="150" t="s">
        <v>338</v>
      </c>
      <c r="F48" s="150" t="s">
        <v>339</v>
      </c>
      <c r="G48" s="201" t="s">
        <v>338</v>
      </c>
      <c r="H48" s="198"/>
      <c r="I48" s="60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19" ht="53.25" customHeight="1" x14ac:dyDescent="0.35">
      <c r="A49" s="38" t="s">
        <v>253</v>
      </c>
      <c r="B49" s="282" t="s">
        <v>196</v>
      </c>
      <c r="C49" s="282"/>
      <c r="D49" s="39" t="s">
        <v>75</v>
      </c>
      <c r="E49" s="40"/>
      <c r="F49" s="41"/>
      <c r="G49" s="41"/>
      <c r="H49" s="198" t="b">
        <f>G49=E49</f>
        <v>1</v>
      </c>
      <c r="I49" s="61"/>
    </row>
    <row r="50" spans="1:19" s="25" customFormat="1" ht="45" customHeight="1" x14ac:dyDescent="0.35">
      <c r="A50" s="149" t="s">
        <v>24</v>
      </c>
      <c r="B50" s="268" t="s">
        <v>55</v>
      </c>
      <c r="C50" s="268"/>
      <c r="D50" s="150" t="s">
        <v>56</v>
      </c>
      <c r="E50" s="150" t="s">
        <v>338</v>
      </c>
      <c r="F50" s="150" t="s">
        <v>339</v>
      </c>
      <c r="G50" s="200" t="s">
        <v>338</v>
      </c>
      <c r="H50" s="198"/>
      <c r="I50" s="60"/>
      <c r="J50" s="24"/>
      <c r="K50" s="24"/>
      <c r="L50" s="24"/>
      <c r="M50" s="24"/>
      <c r="N50" s="24"/>
      <c r="O50" s="24"/>
      <c r="P50" s="24"/>
      <c r="Q50" s="24"/>
      <c r="R50" s="24"/>
      <c r="S50" s="24"/>
    </row>
    <row r="51" spans="1:19" ht="34.5" customHeight="1" x14ac:dyDescent="0.35">
      <c r="A51" s="269" t="s">
        <v>254</v>
      </c>
      <c r="B51" s="36" t="s">
        <v>197</v>
      </c>
      <c r="C51" s="271" t="s">
        <v>80</v>
      </c>
      <c r="D51" s="271" t="s">
        <v>75</v>
      </c>
      <c r="E51" s="283">
        <v>0.05</v>
      </c>
      <c r="F51" s="272"/>
      <c r="G51" s="262">
        <v>0.05</v>
      </c>
      <c r="H51" s="198" t="b">
        <f>G51=E51</f>
        <v>1</v>
      </c>
      <c r="I51" s="304"/>
    </row>
    <row r="52" spans="1:19" ht="34.5" customHeight="1" x14ac:dyDescent="0.35">
      <c r="A52" s="269"/>
      <c r="B52" s="37" t="s">
        <v>165</v>
      </c>
      <c r="C52" s="271"/>
      <c r="D52" s="271"/>
      <c r="E52" s="283"/>
      <c r="F52" s="272"/>
      <c r="G52" s="262"/>
      <c r="H52" s="198"/>
      <c r="I52" s="304"/>
    </row>
    <row r="53" spans="1:19" ht="34.5" customHeight="1" x14ac:dyDescent="0.35">
      <c r="A53" s="269" t="s">
        <v>255</v>
      </c>
      <c r="B53" s="36" t="s">
        <v>196</v>
      </c>
      <c r="C53" s="271" t="s">
        <v>80</v>
      </c>
      <c r="D53" s="271" t="s">
        <v>75</v>
      </c>
      <c r="E53" s="262">
        <v>0.02</v>
      </c>
      <c r="F53" s="272">
        <v>0.02</v>
      </c>
      <c r="G53" s="262">
        <v>0.02</v>
      </c>
      <c r="H53" s="198" t="b">
        <f>G53=E53</f>
        <v>1</v>
      </c>
      <c r="I53" s="304"/>
    </row>
    <row r="54" spans="1:19" ht="34.5" customHeight="1" x14ac:dyDescent="0.35">
      <c r="A54" s="269"/>
      <c r="B54" s="37" t="s">
        <v>165</v>
      </c>
      <c r="C54" s="271"/>
      <c r="D54" s="271"/>
      <c r="E54" s="262"/>
      <c r="F54" s="272"/>
      <c r="G54" s="262"/>
      <c r="H54" s="198"/>
      <c r="I54" s="304"/>
    </row>
    <row r="55" spans="1:19" s="151" customFormat="1" ht="45" customHeight="1" x14ac:dyDescent="0.35">
      <c r="A55" s="149" t="s">
        <v>25</v>
      </c>
      <c r="B55" s="268" t="s">
        <v>55</v>
      </c>
      <c r="C55" s="268"/>
      <c r="D55" s="150" t="s">
        <v>56</v>
      </c>
      <c r="E55" s="150" t="s">
        <v>338</v>
      </c>
      <c r="F55" s="150" t="s">
        <v>339</v>
      </c>
      <c r="G55" s="200" t="s">
        <v>338</v>
      </c>
      <c r="H55" s="198"/>
      <c r="I55" s="60"/>
      <c r="J55" s="25"/>
      <c r="K55" s="25"/>
      <c r="L55" s="25"/>
      <c r="M55" s="25"/>
      <c r="N55" s="25"/>
      <c r="O55" s="25"/>
      <c r="P55" s="25"/>
      <c r="Q55" s="25"/>
    </row>
    <row r="56" spans="1:19" s="25" customFormat="1" ht="34.5" customHeight="1" x14ac:dyDescent="0.35">
      <c r="A56" s="42" t="s">
        <v>256</v>
      </c>
      <c r="B56" s="271" t="s">
        <v>198</v>
      </c>
      <c r="C56" s="271"/>
      <c r="D56" s="43" t="s">
        <v>167</v>
      </c>
      <c r="E56" s="44">
        <v>60000</v>
      </c>
      <c r="F56" s="45">
        <v>65000</v>
      </c>
      <c r="G56" s="44">
        <v>60000</v>
      </c>
      <c r="H56" s="198" t="b">
        <f>G56=E56</f>
        <v>1</v>
      </c>
      <c r="I56" s="62"/>
      <c r="J56" s="24"/>
      <c r="K56" s="24"/>
      <c r="L56" s="24"/>
      <c r="M56" s="24"/>
      <c r="N56" s="24"/>
      <c r="O56" s="24"/>
      <c r="P56" s="24"/>
      <c r="Q56" s="24"/>
      <c r="R56" s="24"/>
      <c r="S56" s="24"/>
    </row>
    <row r="57" spans="1:19" s="25" customFormat="1" ht="34.5" customHeight="1" x14ac:dyDescent="0.35">
      <c r="A57" s="269" t="s">
        <v>257</v>
      </c>
      <c r="B57" s="36" t="s">
        <v>199</v>
      </c>
      <c r="C57" s="271" t="s">
        <v>80</v>
      </c>
      <c r="D57" s="271" t="s">
        <v>76</v>
      </c>
      <c r="E57" s="262"/>
      <c r="F57" s="272"/>
      <c r="G57" s="272"/>
      <c r="H57" s="198" t="b">
        <f>G57=E57</f>
        <v>1</v>
      </c>
      <c r="I57" s="30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19" s="25" customFormat="1" ht="34.5" customHeight="1" x14ac:dyDescent="0.35">
      <c r="A58" s="269"/>
      <c r="B58" s="37" t="s">
        <v>85</v>
      </c>
      <c r="C58" s="271"/>
      <c r="D58" s="271"/>
      <c r="E58" s="262"/>
      <c r="F58" s="272"/>
      <c r="G58" s="272"/>
      <c r="H58" s="198"/>
      <c r="I58" s="30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19" s="25" customFormat="1" ht="34.5" customHeight="1" x14ac:dyDescent="0.35">
      <c r="A59" s="269" t="s">
        <v>258</v>
      </c>
      <c r="B59" s="36" t="s">
        <v>200</v>
      </c>
      <c r="C59" s="271" t="s">
        <v>80</v>
      </c>
      <c r="D59" s="271" t="s">
        <v>76</v>
      </c>
      <c r="E59" s="262"/>
      <c r="F59" s="272"/>
      <c r="G59" s="272"/>
      <c r="H59" s="198" t="b">
        <f>G59=E59</f>
        <v>1</v>
      </c>
      <c r="I59" s="304"/>
      <c r="J59" s="24"/>
      <c r="K59" s="24"/>
      <c r="L59" s="24"/>
      <c r="M59" s="24"/>
      <c r="N59" s="24"/>
      <c r="O59" s="24"/>
      <c r="P59" s="24"/>
      <c r="Q59" s="24"/>
      <c r="R59" s="24"/>
      <c r="S59" s="24"/>
    </row>
    <row r="60" spans="1:19" s="25" customFormat="1" ht="34.5" customHeight="1" x14ac:dyDescent="0.35">
      <c r="A60" s="269"/>
      <c r="B60" s="37" t="s">
        <v>86</v>
      </c>
      <c r="C60" s="271"/>
      <c r="D60" s="271"/>
      <c r="E60" s="262"/>
      <c r="F60" s="272"/>
      <c r="G60" s="272"/>
      <c r="H60" s="198"/>
      <c r="I60" s="304"/>
      <c r="J60" s="24"/>
      <c r="K60" s="24"/>
      <c r="L60" s="24"/>
      <c r="M60" s="24"/>
      <c r="N60" s="24"/>
      <c r="O60" s="24"/>
      <c r="P60" s="24"/>
      <c r="Q60" s="24"/>
      <c r="R60" s="24"/>
      <c r="S60" s="24"/>
    </row>
    <row r="61" spans="1:19" s="25" customFormat="1" ht="34.5" customHeight="1" x14ac:dyDescent="0.35">
      <c r="A61" s="42" t="s">
        <v>201</v>
      </c>
      <c r="B61" s="271" t="s">
        <v>202</v>
      </c>
      <c r="C61" s="271"/>
      <c r="D61" s="43" t="s">
        <v>82</v>
      </c>
      <c r="E61" s="44">
        <v>110000</v>
      </c>
      <c r="F61" s="45">
        <v>150000</v>
      </c>
      <c r="G61" s="44">
        <v>110000</v>
      </c>
      <c r="H61" s="198" t="b">
        <f>G61=E61</f>
        <v>1</v>
      </c>
      <c r="I61" s="62"/>
      <c r="J61" s="24"/>
      <c r="K61" s="24"/>
      <c r="L61" s="24"/>
      <c r="M61" s="24"/>
      <c r="N61" s="24"/>
      <c r="O61" s="24"/>
      <c r="P61" s="24"/>
      <c r="Q61" s="24"/>
      <c r="R61" s="24"/>
      <c r="S61" s="24"/>
    </row>
    <row r="62" spans="1:19" s="25" customFormat="1" ht="45" customHeight="1" x14ac:dyDescent="0.35">
      <c r="A62" s="149" t="s">
        <v>26</v>
      </c>
      <c r="B62" s="268" t="s">
        <v>55</v>
      </c>
      <c r="C62" s="268"/>
      <c r="D62" s="150" t="s">
        <v>56</v>
      </c>
      <c r="E62" s="150" t="s">
        <v>338</v>
      </c>
      <c r="F62" s="150" t="s">
        <v>339</v>
      </c>
      <c r="G62" s="200" t="s">
        <v>338</v>
      </c>
      <c r="H62" s="198"/>
      <c r="I62" s="60"/>
      <c r="J62" s="24"/>
      <c r="K62" s="24"/>
      <c r="L62" s="24"/>
      <c r="M62" s="24"/>
      <c r="N62" s="24"/>
      <c r="O62" s="24"/>
      <c r="P62" s="24"/>
      <c r="Q62" s="24"/>
      <c r="R62" s="24"/>
      <c r="S62" s="24"/>
    </row>
    <row r="63" spans="1:19" s="25" customFormat="1" ht="34.5" customHeight="1" x14ac:dyDescent="0.35">
      <c r="A63" s="281" t="s">
        <v>259</v>
      </c>
      <c r="B63" s="46" t="s">
        <v>203</v>
      </c>
      <c r="C63" s="271" t="s">
        <v>80</v>
      </c>
      <c r="D63" s="271" t="s">
        <v>75</v>
      </c>
      <c r="E63" s="262">
        <v>0.8</v>
      </c>
      <c r="F63" s="272">
        <v>0.8</v>
      </c>
      <c r="G63" s="262">
        <v>0.8</v>
      </c>
      <c r="H63" s="198" t="b">
        <f>G63=E63</f>
        <v>1</v>
      </c>
      <c r="I63" s="304"/>
      <c r="J63" s="24"/>
      <c r="K63" s="24"/>
      <c r="L63" s="24"/>
      <c r="M63" s="24"/>
      <c r="N63" s="24"/>
      <c r="O63" s="24"/>
      <c r="P63" s="24"/>
      <c r="Q63" s="24"/>
      <c r="R63" s="24"/>
      <c r="S63" s="24"/>
    </row>
    <row r="64" spans="1:19" s="25" customFormat="1" ht="34.5" customHeight="1" x14ac:dyDescent="0.35">
      <c r="A64" s="281"/>
      <c r="B64" s="47" t="s">
        <v>204</v>
      </c>
      <c r="C64" s="271"/>
      <c r="D64" s="271"/>
      <c r="E64" s="262"/>
      <c r="F64" s="272"/>
      <c r="G64" s="262"/>
      <c r="H64" s="198"/>
      <c r="I64" s="30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s="25" customFormat="1" ht="34.5" customHeight="1" x14ac:dyDescent="0.35">
      <c r="A65" s="280" t="s">
        <v>260</v>
      </c>
      <c r="B65" s="48" t="s">
        <v>153</v>
      </c>
      <c r="C65" s="271" t="s">
        <v>80</v>
      </c>
      <c r="D65" s="271" t="s">
        <v>75</v>
      </c>
      <c r="E65" s="262">
        <v>0.5</v>
      </c>
      <c r="F65" s="272">
        <v>0.5</v>
      </c>
      <c r="G65" s="262">
        <v>0.5</v>
      </c>
      <c r="H65" s="198" t="b">
        <f>G65=E65</f>
        <v>1</v>
      </c>
      <c r="I65" s="304"/>
      <c r="J65" s="24"/>
      <c r="K65" s="24"/>
      <c r="L65" s="24"/>
      <c r="M65" s="24"/>
      <c r="N65" s="24"/>
      <c r="O65" s="24"/>
      <c r="P65" s="24"/>
      <c r="Q65" s="24"/>
      <c r="R65" s="24"/>
      <c r="S65" s="24"/>
    </row>
    <row r="66" spans="1:19" s="25" customFormat="1" ht="34.5" customHeight="1" x14ac:dyDescent="0.35">
      <c r="A66" s="280"/>
      <c r="B66" s="49" t="s">
        <v>205</v>
      </c>
      <c r="C66" s="271"/>
      <c r="D66" s="271"/>
      <c r="E66" s="262"/>
      <c r="F66" s="272"/>
      <c r="G66" s="262"/>
      <c r="H66" s="198"/>
      <c r="I66" s="304"/>
      <c r="J66" s="24"/>
      <c r="K66" s="24"/>
      <c r="L66" s="24"/>
      <c r="M66" s="24"/>
      <c r="N66" s="24"/>
      <c r="O66" s="24"/>
      <c r="P66" s="24"/>
      <c r="Q66" s="24"/>
      <c r="R66" s="24"/>
      <c r="S66" s="24"/>
    </row>
    <row r="67" spans="1:19" s="25" customFormat="1" ht="34.5" customHeight="1" x14ac:dyDescent="0.35">
      <c r="A67" s="269" t="s">
        <v>261</v>
      </c>
      <c r="B67" s="273" t="s">
        <v>206</v>
      </c>
      <c r="C67" s="273"/>
      <c r="D67" s="271" t="s">
        <v>82</v>
      </c>
      <c r="E67" s="261">
        <v>0.6</v>
      </c>
      <c r="F67" s="274">
        <v>0.6</v>
      </c>
      <c r="G67" s="261">
        <v>0.6</v>
      </c>
      <c r="H67" s="198" t="b">
        <f>G67=E67</f>
        <v>1</v>
      </c>
      <c r="I67" s="305"/>
      <c r="J67" s="24"/>
      <c r="K67" s="24"/>
      <c r="L67" s="24"/>
      <c r="M67" s="24"/>
      <c r="N67" s="24"/>
      <c r="O67" s="24"/>
      <c r="P67" s="24"/>
      <c r="Q67" s="24"/>
      <c r="R67" s="24"/>
      <c r="S67" s="24"/>
    </row>
    <row r="68" spans="1:19" s="25" customFormat="1" ht="34.5" customHeight="1" x14ac:dyDescent="0.35">
      <c r="A68" s="269"/>
      <c r="B68" s="275" t="s">
        <v>207</v>
      </c>
      <c r="C68" s="275"/>
      <c r="D68" s="271"/>
      <c r="E68" s="261"/>
      <c r="F68" s="274"/>
      <c r="G68" s="261"/>
      <c r="H68" s="198"/>
      <c r="I68" s="305"/>
      <c r="J68" s="24"/>
      <c r="K68" s="24"/>
      <c r="L68" s="24"/>
      <c r="M68" s="24"/>
      <c r="N68" s="24"/>
      <c r="O68" s="24"/>
      <c r="P68" s="24"/>
      <c r="Q68" s="24"/>
      <c r="R68" s="24"/>
      <c r="S68" s="24"/>
    </row>
    <row r="69" spans="1:19" s="145" customFormat="1" ht="45" customHeight="1" x14ac:dyDescent="0.35">
      <c r="A69" s="149" t="s">
        <v>27</v>
      </c>
      <c r="B69" s="268" t="s">
        <v>55</v>
      </c>
      <c r="C69" s="268"/>
      <c r="D69" s="150" t="s">
        <v>56</v>
      </c>
      <c r="E69" s="150" t="s">
        <v>338</v>
      </c>
      <c r="F69" s="150" t="s">
        <v>339</v>
      </c>
      <c r="G69" s="200" t="s">
        <v>338</v>
      </c>
      <c r="H69" s="198"/>
      <c r="I69" s="60"/>
      <c r="J69" s="25"/>
      <c r="K69" s="25"/>
      <c r="L69" s="25"/>
      <c r="M69" s="25"/>
      <c r="N69" s="25"/>
      <c r="O69" s="25"/>
      <c r="P69" s="25"/>
    </row>
    <row r="70" spans="1:19" s="25" customFormat="1" ht="34.5" customHeight="1" x14ac:dyDescent="0.35">
      <c r="A70" s="269" t="s">
        <v>262</v>
      </c>
      <c r="B70" s="273" t="s">
        <v>233</v>
      </c>
      <c r="C70" s="273"/>
      <c r="D70" s="271" t="s">
        <v>76</v>
      </c>
      <c r="E70" s="261">
        <v>1.25</v>
      </c>
      <c r="F70" s="279">
        <v>1.2697790712541719</v>
      </c>
      <c r="G70" s="261">
        <v>1.25</v>
      </c>
      <c r="H70" s="198" t="b">
        <f>G70=E70</f>
        <v>1</v>
      </c>
      <c r="I70" s="305" t="e">
        <f>#REF!/(#REF!/1000)</f>
        <v>#REF!</v>
      </c>
      <c r="J70" s="304" t="e">
        <f>I70=F70</f>
        <v>#REF!</v>
      </c>
      <c r="K70" s="55"/>
      <c r="L70" s="55"/>
      <c r="M70" s="24"/>
      <c r="N70" s="24"/>
      <c r="O70" s="24"/>
      <c r="P70" s="24"/>
      <c r="Q70" s="24"/>
      <c r="R70" s="24"/>
      <c r="S70" s="24"/>
    </row>
    <row r="71" spans="1:19" s="25" customFormat="1" ht="34.5" customHeight="1" x14ac:dyDescent="0.35">
      <c r="A71" s="269"/>
      <c r="B71" s="275" t="s">
        <v>209</v>
      </c>
      <c r="C71" s="275"/>
      <c r="D71" s="271"/>
      <c r="E71" s="261"/>
      <c r="F71" s="279"/>
      <c r="G71" s="261"/>
      <c r="H71" s="198"/>
      <c r="I71" s="305"/>
      <c r="J71" s="304"/>
      <c r="K71" s="55"/>
      <c r="L71" s="55"/>
      <c r="M71" s="24"/>
      <c r="N71" s="24"/>
      <c r="O71" s="24"/>
      <c r="P71" s="24"/>
      <c r="Q71" s="24"/>
      <c r="R71" s="24"/>
      <c r="S71" s="24"/>
    </row>
    <row r="72" spans="1:19" s="25" customFormat="1" ht="34.5" customHeight="1" x14ac:dyDescent="0.35">
      <c r="A72" s="269" t="s">
        <v>263</v>
      </c>
      <c r="B72" s="36" t="s">
        <v>148</v>
      </c>
      <c r="C72" s="271" t="s">
        <v>80</v>
      </c>
      <c r="D72" s="271" t="s">
        <v>76</v>
      </c>
      <c r="E72" s="262">
        <v>4.4999999999999998E-2</v>
      </c>
      <c r="F72" s="272">
        <v>0.02</v>
      </c>
      <c r="G72" s="262">
        <v>4.4999999999999998E-2</v>
      </c>
      <c r="H72" s="198" t="b">
        <f>G72=E72</f>
        <v>1</v>
      </c>
      <c r="I72" s="304"/>
      <c r="J72" s="24"/>
      <c r="K72" s="24"/>
      <c r="L72" s="24"/>
      <c r="M72" s="24"/>
      <c r="N72" s="24"/>
      <c r="O72" s="24"/>
      <c r="P72" s="24"/>
      <c r="Q72" s="24"/>
      <c r="R72" s="24"/>
      <c r="S72" s="24"/>
    </row>
    <row r="73" spans="1:19" ht="34.5" customHeight="1" x14ac:dyDescent="0.35">
      <c r="A73" s="269"/>
      <c r="B73" s="37" t="s">
        <v>208</v>
      </c>
      <c r="C73" s="271"/>
      <c r="D73" s="271"/>
      <c r="E73" s="262"/>
      <c r="F73" s="272"/>
      <c r="G73" s="262"/>
      <c r="H73" s="198"/>
      <c r="I73" s="304"/>
    </row>
    <row r="74" spans="1:19" s="25" customFormat="1" ht="34.5" customHeight="1" x14ac:dyDescent="0.35">
      <c r="A74" s="269" t="s">
        <v>264</v>
      </c>
      <c r="B74" s="36" t="s">
        <v>210</v>
      </c>
      <c r="C74" s="271" t="s">
        <v>80</v>
      </c>
      <c r="D74" s="271" t="s">
        <v>76</v>
      </c>
      <c r="E74" s="262">
        <v>1E-3</v>
      </c>
      <c r="F74" s="272">
        <v>8.5000000000000006E-3</v>
      </c>
      <c r="G74" s="262">
        <v>1E-3</v>
      </c>
      <c r="H74" s="198" t="b">
        <f>G74=E74</f>
        <v>1</v>
      </c>
      <c r="I74" s="304"/>
    </row>
    <row r="75" spans="1:19" s="25" customFormat="1" ht="34.5" customHeight="1" x14ac:dyDescent="0.35">
      <c r="A75" s="269"/>
      <c r="B75" s="37" t="s">
        <v>208</v>
      </c>
      <c r="C75" s="271"/>
      <c r="D75" s="271"/>
      <c r="E75" s="262"/>
      <c r="F75" s="272"/>
      <c r="G75" s="262"/>
      <c r="H75" s="198"/>
      <c r="I75" s="304"/>
    </row>
    <row r="76" spans="1:19" s="25" customFormat="1" ht="45" customHeight="1" x14ac:dyDescent="0.35">
      <c r="A76" s="149" t="s">
        <v>28</v>
      </c>
      <c r="B76" s="268" t="s">
        <v>55</v>
      </c>
      <c r="C76" s="268"/>
      <c r="D76" s="150" t="s">
        <v>56</v>
      </c>
      <c r="E76" s="150" t="s">
        <v>338</v>
      </c>
      <c r="F76" s="150" t="s">
        <v>339</v>
      </c>
      <c r="G76" s="200" t="s">
        <v>338</v>
      </c>
      <c r="H76" s="198"/>
      <c r="I76" s="60"/>
      <c r="J76" s="24"/>
      <c r="K76" s="24"/>
      <c r="L76" s="24"/>
      <c r="M76" s="24"/>
      <c r="N76" s="24"/>
      <c r="O76" s="24"/>
      <c r="P76" s="24"/>
      <c r="Q76" s="24"/>
      <c r="R76" s="24"/>
      <c r="S76" s="24"/>
    </row>
    <row r="77" spans="1:19" ht="34.5" customHeight="1" x14ac:dyDescent="0.35">
      <c r="A77" s="269" t="s">
        <v>265</v>
      </c>
      <c r="B77" s="273" t="s">
        <v>211</v>
      </c>
      <c r="C77" s="273"/>
      <c r="D77" s="271" t="s">
        <v>212</v>
      </c>
      <c r="E77" s="263">
        <v>672.03</v>
      </c>
      <c r="F77" s="278">
        <v>738.46762598508076</v>
      </c>
      <c r="G77" s="316">
        <v>672.03</v>
      </c>
      <c r="H77" s="198" t="b">
        <f>G77=E77</f>
        <v>1</v>
      </c>
      <c r="I77" s="310" t="e">
        <f>'Anexo 1. Fontes e Aplicações'!D8/#REF!</f>
        <v>#REF!</v>
      </c>
      <c r="J77" s="304" t="e">
        <f>I77=F77</f>
        <v>#REF!</v>
      </c>
      <c r="K77" s="304"/>
    </row>
    <row r="78" spans="1:19" ht="34.5" customHeight="1" x14ac:dyDescent="0.35">
      <c r="A78" s="269"/>
      <c r="B78" s="275" t="s">
        <v>88</v>
      </c>
      <c r="C78" s="275"/>
      <c r="D78" s="271"/>
      <c r="E78" s="263"/>
      <c r="F78" s="278"/>
      <c r="G78" s="317"/>
      <c r="H78" s="198"/>
      <c r="I78" s="310"/>
      <c r="J78" s="304"/>
      <c r="K78" s="304"/>
    </row>
    <row r="79" spans="1:19" ht="34.5" customHeight="1" x14ac:dyDescent="0.35">
      <c r="A79" s="269" t="s">
        <v>266</v>
      </c>
      <c r="B79" s="36" t="s">
        <v>213</v>
      </c>
      <c r="C79" s="271" t="s">
        <v>80</v>
      </c>
      <c r="D79" s="271" t="s">
        <v>214</v>
      </c>
      <c r="E79" s="262">
        <v>0.35799999999999998</v>
      </c>
      <c r="F79" s="277">
        <v>0.43606771300093422</v>
      </c>
      <c r="G79" s="272">
        <v>0.35799999999999998</v>
      </c>
      <c r="H79" s="198" t="b">
        <f>G79=E79</f>
        <v>1</v>
      </c>
      <c r="I79" s="311">
        <f>'Anexo 2. Limites Estratégicos'!O6/'Anexo 2. Limites Estratégicos'!O8</f>
        <v>0.43606771300093422</v>
      </c>
      <c r="J79" s="304" t="b">
        <f t="shared" ref="J79" si="0">I79=F79</f>
        <v>1</v>
      </c>
      <c r="K79" s="304"/>
    </row>
    <row r="80" spans="1:19" ht="34.5" customHeight="1" x14ac:dyDescent="0.35">
      <c r="A80" s="269"/>
      <c r="B80" s="37" t="s">
        <v>211</v>
      </c>
      <c r="C80" s="271"/>
      <c r="D80" s="271"/>
      <c r="E80" s="262"/>
      <c r="F80" s="277"/>
      <c r="G80" s="272"/>
      <c r="H80" s="198"/>
      <c r="I80" s="311"/>
      <c r="J80" s="304"/>
      <c r="K80" s="304"/>
    </row>
    <row r="81" spans="1:19" ht="34.5" customHeight="1" x14ac:dyDescent="0.35">
      <c r="A81" s="269" t="s">
        <v>267</v>
      </c>
      <c r="B81" s="273" t="s">
        <v>151</v>
      </c>
      <c r="C81" s="273"/>
      <c r="D81" s="271" t="s">
        <v>82</v>
      </c>
      <c r="E81" s="261">
        <v>63</v>
      </c>
      <c r="F81" s="274">
        <v>65</v>
      </c>
      <c r="G81" s="274">
        <v>63</v>
      </c>
      <c r="H81" s="198" t="b">
        <f>G81=E81</f>
        <v>1</v>
      </c>
      <c r="I81" s="305"/>
      <c r="J81" s="304"/>
      <c r="K81" s="304"/>
    </row>
    <row r="82" spans="1:19" ht="34.5" customHeight="1" x14ac:dyDescent="0.35">
      <c r="A82" s="269"/>
      <c r="B82" s="275" t="s">
        <v>87</v>
      </c>
      <c r="C82" s="275"/>
      <c r="D82" s="271"/>
      <c r="E82" s="261"/>
      <c r="F82" s="274"/>
      <c r="G82" s="274"/>
      <c r="H82" s="198"/>
      <c r="I82" s="305"/>
      <c r="J82" s="304"/>
      <c r="K82" s="304"/>
    </row>
    <row r="83" spans="1:19" ht="34.5" customHeight="1" x14ac:dyDescent="0.35">
      <c r="A83" s="269" t="s">
        <v>268</v>
      </c>
      <c r="B83" s="36" t="s">
        <v>152</v>
      </c>
      <c r="C83" s="271" t="s">
        <v>80</v>
      </c>
      <c r="D83" s="271" t="s">
        <v>81</v>
      </c>
      <c r="E83" s="262">
        <v>0.27</v>
      </c>
      <c r="F83" s="276">
        <v>0.27956989247311825</v>
      </c>
      <c r="G83" s="283">
        <v>0.27</v>
      </c>
      <c r="H83" s="198" t="b">
        <f>G83=E83</f>
        <v>1</v>
      </c>
      <c r="I83" s="312" t="e">
        <f>#REF!/100</f>
        <v>#REF!</v>
      </c>
      <c r="J83" s="304" t="e">
        <f t="shared" ref="J83" si="1">I83=F83</f>
        <v>#REF!</v>
      </c>
      <c r="K83" s="203"/>
    </row>
    <row r="84" spans="1:19" s="25" customFormat="1" ht="34.5" customHeight="1" x14ac:dyDescent="0.35">
      <c r="A84" s="269"/>
      <c r="B84" s="37" t="s">
        <v>234</v>
      </c>
      <c r="C84" s="271"/>
      <c r="D84" s="271"/>
      <c r="E84" s="262"/>
      <c r="F84" s="276"/>
      <c r="G84" s="283"/>
      <c r="H84" s="198"/>
      <c r="I84" s="312"/>
      <c r="J84" s="304"/>
      <c r="K84" s="203"/>
      <c r="L84" s="24"/>
      <c r="M84" s="24"/>
      <c r="N84" s="24"/>
      <c r="O84" s="24"/>
      <c r="P84" s="24"/>
      <c r="Q84" s="24"/>
      <c r="R84" s="24"/>
      <c r="S84" s="24"/>
    </row>
    <row r="85" spans="1:19" s="25" customFormat="1" ht="34.5" customHeight="1" x14ac:dyDescent="0.35">
      <c r="A85" s="269" t="s">
        <v>269</v>
      </c>
      <c r="B85" s="36" t="s">
        <v>89</v>
      </c>
      <c r="C85" s="271" t="s">
        <v>80</v>
      </c>
      <c r="D85" s="271" t="s">
        <v>81</v>
      </c>
      <c r="E85" s="262">
        <v>0.502</v>
      </c>
      <c r="F85" s="276">
        <v>0.50212404418011902</v>
      </c>
      <c r="G85" s="283">
        <v>0.502</v>
      </c>
      <c r="H85" s="198" t="b">
        <f>G85=E85</f>
        <v>1</v>
      </c>
      <c r="I85" s="312" t="e">
        <f>#REF!/100</f>
        <v>#REF!</v>
      </c>
      <c r="J85" s="304" t="e">
        <f t="shared" ref="J85" si="2">I85=F85</f>
        <v>#REF!</v>
      </c>
      <c r="K85" s="195"/>
      <c r="L85" s="24"/>
      <c r="M85" s="24"/>
      <c r="N85" s="24"/>
      <c r="O85" s="24"/>
      <c r="P85" s="24"/>
      <c r="Q85" s="24"/>
      <c r="R85" s="24"/>
      <c r="S85" s="24"/>
    </row>
    <row r="86" spans="1:19" s="25" customFormat="1" ht="34.5" customHeight="1" x14ac:dyDescent="0.35">
      <c r="A86" s="269"/>
      <c r="B86" s="37" t="s">
        <v>215</v>
      </c>
      <c r="C86" s="271"/>
      <c r="D86" s="271"/>
      <c r="E86" s="262"/>
      <c r="F86" s="276"/>
      <c r="G86" s="283"/>
      <c r="H86" s="198"/>
      <c r="I86" s="312"/>
      <c r="J86" s="304"/>
      <c r="K86" s="24"/>
      <c r="L86" s="24"/>
      <c r="M86" s="24"/>
      <c r="N86" s="24"/>
      <c r="O86" s="24"/>
      <c r="P86" s="24"/>
      <c r="Q86" s="24"/>
      <c r="R86" s="24"/>
      <c r="S86" s="24"/>
    </row>
    <row r="87" spans="1:19" s="25" customFormat="1" ht="45" customHeight="1" x14ac:dyDescent="0.35">
      <c r="A87" s="149" t="s">
        <v>29</v>
      </c>
      <c r="B87" s="268" t="s">
        <v>55</v>
      </c>
      <c r="C87" s="268"/>
      <c r="D87" s="150" t="s">
        <v>56</v>
      </c>
      <c r="E87" s="150" t="s">
        <v>338</v>
      </c>
      <c r="F87" s="150" t="s">
        <v>339</v>
      </c>
      <c r="G87" s="201" t="s">
        <v>338</v>
      </c>
      <c r="H87" s="198"/>
      <c r="I87" s="60"/>
      <c r="J87" s="24"/>
      <c r="K87" s="24"/>
      <c r="L87" s="24"/>
      <c r="M87" s="24"/>
      <c r="N87" s="24"/>
      <c r="O87" s="24"/>
      <c r="P87" s="24"/>
      <c r="Q87" s="24"/>
      <c r="R87" s="24"/>
      <c r="S87" s="24"/>
    </row>
    <row r="88" spans="1:19" s="25" customFormat="1" ht="34.5" customHeight="1" x14ac:dyDescent="0.35">
      <c r="A88" s="269" t="s">
        <v>270</v>
      </c>
      <c r="B88" s="36" t="s">
        <v>216</v>
      </c>
      <c r="C88" s="271" t="s">
        <v>80</v>
      </c>
      <c r="D88" s="271" t="s">
        <v>214</v>
      </c>
      <c r="E88" s="262"/>
      <c r="F88" s="272"/>
      <c r="G88" s="272"/>
      <c r="H88" s="198" t="b">
        <f>G88=E88</f>
        <v>1</v>
      </c>
      <c r="I88" s="304"/>
      <c r="J88" s="24"/>
      <c r="K88" s="24"/>
      <c r="L88" s="24"/>
      <c r="M88" s="24"/>
      <c r="N88" s="24"/>
      <c r="O88" s="24"/>
      <c r="P88" s="24"/>
      <c r="Q88" s="24"/>
      <c r="R88" s="24"/>
      <c r="S88" s="24"/>
    </row>
    <row r="89" spans="1:19" s="25" customFormat="1" ht="34.5" customHeight="1" x14ac:dyDescent="0.35">
      <c r="A89" s="269"/>
      <c r="B89" s="37" t="s">
        <v>217</v>
      </c>
      <c r="C89" s="271"/>
      <c r="D89" s="271"/>
      <c r="E89" s="262"/>
      <c r="F89" s="272"/>
      <c r="G89" s="272"/>
      <c r="H89" s="198"/>
      <c r="I89" s="304"/>
      <c r="J89" s="24"/>
      <c r="K89" s="24"/>
      <c r="L89" s="24"/>
      <c r="M89" s="24"/>
      <c r="N89" s="24"/>
      <c r="O89" s="24"/>
      <c r="P89" s="24"/>
      <c r="Q89" s="24"/>
      <c r="R89" s="24"/>
      <c r="S89" s="24"/>
    </row>
    <row r="90" spans="1:19" s="25" customFormat="1" ht="34.5" customHeight="1" x14ac:dyDescent="0.35">
      <c r="A90" s="269" t="s">
        <v>271</v>
      </c>
      <c r="B90" s="36" t="s">
        <v>218</v>
      </c>
      <c r="C90" s="271" t="s">
        <v>80</v>
      </c>
      <c r="D90" s="271" t="s">
        <v>214</v>
      </c>
      <c r="E90" s="262"/>
      <c r="F90" s="272"/>
      <c r="G90" s="272"/>
      <c r="H90" s="198" t="b">
        <f>G90=E90</f>
        <v>1</v>
      </c>
      <c r="I90" s="304"/>
      <c r="J90" s="24"/>
      <c r="K90" s="24"/>
      <c r="L90" s="24"/>
      <c r="M90" s="24"/>
      <c r="N90" s="24"/>
      <c r="O90" s="24"/>
      <c r="P90" s="24"/>
      <c r="Q90" s="24"/>
      <c r="R90" s="24"/>
      <c r="S90" s="24"/>
    </row>
    <row r="91" spans="1:19" s="25" customFormat="1" ht="34.5" customHeight="1" x14ac:dyDescent="0.35">
      <c r="A91" s="269"/>
      <c r="B91" s="37" t="s">
        <v>219</v>
      </c>
      <c r="C91" s="271"/>
      <c r="D91" s="271"/>
      <c r="E91" s="262"/>
      <c r="F91" s="272"/>
      <c r="G91" s="272"/>
      <c r="H91" s="198"/>
      <c r="I91" s="304"/>
      <c r="J91" s="24"/>
      <c r="K91" s="24"/>
      <c r="L91" s="24"/>
      <c r="M91" s="24"/>
      <c r="N91" s="24"/>
      <c r="O91" s="24"/>
      <c r="P91" s="24"/>
      <c r="Q91" s="24"/>
      <c r="R91" s="24"/>
      <c r="S91" s="24"/>
    </row>
    <row r="92" spans="1:19" s="25" customFormat="1" ht="34.5" customHeight="1" x14ac:dyDescent="0.35">
      <c r="A92" s="269" t="s">
        <v>272</v>
      </c>
      <c r="B92" s="36" t="s">
        <v>220</v>
      </c>
      <c r="C92" s="271" t="s">
        <v>80</v>
      </c>
      <c r="D92" s="271" t="s">
        <v>214</v>
      </c>
      <c r="E92" s="262"/>
      <c r="F92" s="272"/>
      <c r="G92" s="272"/>
      <c r="H92" s="198" t="b">
        <f>G92=E92</f>
        <v>1</v>
      </c>
      <c r="I92" s="304"/>
      <c r="J92" s="24"/>
      <c r="K92" s="24"/>
      <c r="L92" s="24"/>
      <c r="M92" s="24"/>
      <c r="N92" s="24"/>
      <c r="O92" s="24"/>
      <c r="P92" s="24"/>
      <c r="Q92" s="24"/>
      <c r="R92" s="24"/>
      <c r="S92" s="24"/>
    </row>
    <row r="93" spans="1:19" s="25" customFormat="1" ht="34.5" customHeight="1" x14ac:dyDescent="0.35">
      <c r="A93" s="269"/>
      <c r="B93" s="37" t="s">
        <v>219</v>
      </c>
      <c r="C93" s="271"/>
      <c r="D93" s="271"/>
      <c r="E93" s="262"/>
      <c r="F93" s="272"/>
      <c r="G93" s="272"/>
      <c r="H93" s="198"/>
      <c r="I93" s="304"/>
      <c r="J93" s="24"/>
      <c r="K93" s="24"/>
      <c r="L93" s="24"/>
      <c r="M93" s="24"/>
      <c r="N93" s="24"/>
      <c r="O93" s="24"/>
      <c r="P93" s="24"/>
      <c r="Q93" s="24"/>
      <c r="R93" s="24"/>
      <c r="S93" s="24"/>
    </row>
    <row r="94" spans="1:19" s="25" customFormat="1" ht="45" customHeight="1" x14ac:dyDescent="0.35">
      <c r="A94" s="149" t="s">
        <v>30</v>
      </c>
      <c r="B94" s="268" t="s">
        <v>55</v>
      </c>
      <c r="C94" s="268"/>
      <c r="D94" s="150" t="s">
        <v>56</v>
      </c>
      <c r="E94" s="150" t="s">
        <v>338</v>
      </c>
      <c r="F94" s="150" t="s">
        <v>339</v>
      </c>
      <c r="G94" s="200" t="s">
        <v>338</v>
      </c>
      <c r="H94" s="198"/>
      <c r="I94" s="60"/>
      <c r="J94" s="24"/>
      <c r="K94" s="24"/>
      <c r="L94" s="24"/>
      <c r="M94" s="24"/>
      <c r="N94" s="24"/>
      <c r="O94" s="24"/>
      <c r="P94" s="24"/>
      <c r="Q94" s="24"/>
      <c r="R94" s="24"/>
      <c r="S94" s="24"/>
    </row>
    <row r="95" spans="1:19" s="25" customFormat="1" ht="34.5" customHeight="1" x14ac:dyDescent="0.35">
      <c r="A95" s="269" t="s">
        <v>273</v>
      </c>
      <c r="B95" s="273" t="s">
        <v>90</v>
      </c>
      <c r="C95" s="273"/>
      <c r="D95" s="271" t="s">
        <v>75</v>
      </c>
      <c r="E95" s="261">
        <v>5</v>
      </c>
      <c r="F95" s="274">
        <v>5</v>
      </c>
      <c r="G95" s="314">
        <v>5</v>
      </c>
      <c r="H95" s="198" t="b">
        <f>G95=E95</f>
        <v>1</v>
      </c>
      <c r="I95" s="305"/>
      <c r="J95" s="24"/>
      <c r="K95" s="24"/>
      <c r="L95" s="24"/>
      <c r="M95" s="24"/>
      <c r="N95" s="24"/>
      <c r="O95" s="24"/>
      <c r="P95" s="24"/>
      <c r="Q95" s="24"/>
      <c r="R95" s="24"/>
      <c r="S95" s="24"/>
    </row>
    <row r="96" spans="1:19" s="25" customFormat="1" ht="34.5" customHeight="1" x14ac:dyDescent="0.35">
      <c r="A96" s="269"/>
      <c r="B96" s="275" t="s">
        <v>91</v>
      </c>
      <c r="C96" s="275"/>
      <c r="D96" s="271"/>
      <c r="E96" s="261"/>
      <c r="F96" s="274"/>
      <c r="G96" s="315"/>
      <c r="H96" s="198"/>
      <c r="I96" s="305"/>
      <c r="J96" s="24"/>
      <c r="K96" s="24"/>
      <c r="L96" s="24"/>
      <c r="M96" s="24"/>
      <c r="N96" s="24"/>
      <c r="O96" s="24"/>
      <c r="P96" s="24"/>
      <c r="Q96" s="24"/>
      <c r="R96" s="24"/>
      <c r="S96" s="24"/>
    </row>
    <row r="97" spans="1:19" s="25" customFormat="1" ht="45" customHeight="1" x14ac:dyDescent="0.35">
      <c r="A97" s="149" t="s">
        <v>31</v>
      </c>
      <c r="B97" s="268" t="s">
        <v>55</v>
      </c>
      <c r="C97" s="268"/>
      <c r="D97" s="150" t="s">
        <v>56</v>
      </c>
      <c r="E97" s="150" t="s">
        <v>338</v>
      </c>
      <c r="F97" s="150" t="s">
        <v>339</v>
      </c>
      <c r="G97" s="201" t="s">
        <v>338</v>
      </c>
      <c r="H97" s="198"/>
      <c r="I97" s="60"/>
      <c r="J97" s="24"/>
      <c r="K97" s="24"/>
      <c r="L97" s="24"/>
      <c r="M97" s="24"/>
      <c r="N97" s="24"/>
      <c r="O97" s="24"/>
      <c r="P97" s="24"/>
      <c r="Q97" s="24"/>
      <c r="R97" s="24"/>
      <c r="S97" s="24"/>
    </row>
    <row r="98" spans="1:19" s="25" customFormat="1" ht="34.5" customHeight="1" x14ac:dyDescent="0.35">
      <c r="A98" s="42" t="s">
        <v>221</v>
      </c>
      <c r="B98" s="271" t="s">
        <v>222</v>
      </c>
      <c r="C98" s="271"/>
      <c r="D98" s="43" t="s">
        <v>75</v>
      </c>
      <c r="E98" s="50"/>
      <c r="F98" s="51"/>
      <c r="G98" s="202"/>
      <c r="H98" s="198" t="b">
        <f>G98=E98</f>
        <v>1</v>
      </c>
      <c r="I98" s="63"/>
      <c r="J98" s="24"/>
      <c r="K98" s="24"/>
      <c r="L98" s="24"/>
      <c r="M98" s="24"/>
      <c r="N98" s="24"/>
      <c r="O98" s="24"/>
      <c r="P98" s="24"/>
      <c r="Q98" s="24"/>
      <c r="R98" s="24"/>
      <c r="S98" s="24"/>
    </row>
    <row r="99" spans="1:19" s="25" customFormat="1" ht="34.5" customHeight="1" x14ac:dyDescent="0.35">
      <c r="A99" s="269" t="s">
        <v>223</v>
      </c>
      <c r="B99" s="36" t="s">
        <v>274</v>
      </c>
      <c r="C99" s="270" t="s">
        <v>80</v>
      </c>
      <c r="D99" s="271" t="s">
        <v>82</v>
      </c>
      <c r="E99" s="262"/>
      <c r="F99" s="272"/>
      <c r="G99" s="272"/>
      <c r="H99" s="198" t="b">
        <f>G99=E99</f>
        <v>1</v>
      </c>
      <c r="I99" s="304"/>
      <c r="J99" s="24"/>
      <c r="K99" s="24"/>
      <c r="L99" s="24"/>
      <c r="M99" s="24"/>
      <c r="N99" s="24"/>
      <c r="O99" s="24"/>
      <c r="P99" s="24"/>
      <c r="Q99" s="24"/>
      <c r="R99" s="24"/>
      <c r="S99" s="24"/>
    </row>
    <row r="100" spans="1:19" s="25" customFormat="1" ht="34.5" customHeight="1" x14ac:dyDescent="0.35">
      <c r="A100" s="269"/>
      <c r="B100" s="37" t="s">
        <v>275</v>
      </c>
      <c r="C100" s="270"/>
      <c r="D100" s="271"/>
      <c r="E100" s="262"/>
      <c r="F100" s="272"/>
      <c r="G100" s="272"/>
      <c r="H100" s="198"/>
      <c r="I100" s="304"/>
      <c r="J100" s="24"/>
      <c r="K100" s="24"/>
      <c r="L100" s="24"/>
      <c r="M100" s="24"/>
      <c r="N100" s="24"/>
      <c r="O100" s="24"/>
      <c r="P100" s="24"/>
      <c r="Q100" s="24"/>
      <c r="R100" s="24"/>
      <c r="S100" s="24"/>
    </row>
    <row r="101" spans="1:19" s="25" customFormat="1" ht="45" customHeight="1" x14ac:dyDescent="0.35">
      <c r="A101" s="149" t="s">
        <v>32</v>
      </c>
      <c r="B101" s="268" t="s">
        <v>55</v>
      </c>
      <c r="C101" s="268"/>
      <c r="D101" s="150" t="s">
        <v>56</v>
      </c>
      <c r="E101" s="150" t="s">
        <v>338</v>
      </c>
      <c r="F101" s="150" t="s">
        <v>339</v>
      </c>
      <c r="G101" s="201" t="s">
        <v>338</v>
      </c>
      <c r="H101" s="198"/>
      <c r="I101" s="60"/>
      <c r="J101" s="24"/>
      <c r="K101" s="24"/>
      <c r="L101" s="24"/>
      <c r="M101" s="24"/>
      <c r="N101" s="24"/>
      <c r="O101" s="24"/>
      <c r="P101" s="24"/>
      <c r="Q101" s="24"/>
      <c r="R101" s="24"/>
      <c r="S101" s="24"/>
    </row>
    <row r="102" spans="1:19" s="25" customFormat="1" ht="34.5" customHeight="1" x14ac:dyDescent="0.35">
      <c r="A102" s="269" t="s">
        <v>276</v>
      </c>
      <c r="B102" s="36" t="s">
        <v>149</v>
      </c>
      <c r="C102" s="270" t="s">
        <v>80</v>
      </c>
      <c r="D102" s="271" t="s">
        <v>82</v>
      </c>
      <c r="E102" s="262"/>
      <c r="F102" s="272"/>
      <c r="G102" s="272"/>
      <c r="H102" s="198" t="b">
        <f>G102=E102</f>
        <v>1</v>
      </c>
      <c r="I102" s="304"/>
      <c r="J102" s="24"/>
      <c r="K102" s="24"/>
      <c r="L102" s="24"/>
      <c r="M102" s="24"/>
      <c r="N102" s="24"/>
      <c r="O102" s="24"/>
      <c r="P102" s="24"/>
      <c r="Q102" s="24"/>
      <c r="R102" s="24"/>
      <c r="S102" s="24"/>
    </row>
    <row r="103" spans="1:19" ht="34.5" customHeight="1" x14ac:dyDescent="0.35">
      <c r="A103" s="269"/>
      <c r="B103" s="52" t="s">
        <v>92</v>
      </c>
      <c r="C103" s="270"/>
      <c r="D103" s="271"/>
      <c r="E103" s="262"/>
      <c r="F103" s="272"/>
      <c r="G103" s="272"/>
      <c r="H103" s="198"/>
      <c r="I103" s="304"/>
    </row>
    <row r="104" spans="1:19" ht="34.5" customHeight="1" x14ac:dyDescent="0.35">
      <c r="A104" s="269" t="s">
        <v>277</v>
      </c>
      <c r="B104" s="36" t="s">
        <v>150</v>
      </c>
      <c r="C104" s="270" t="s">
        <v>80</v>
      </c>
      <c r="D104" s="271" t="s">
        <v>214</v>
      </c>
      <c r="E104" s="262"/>
      <c r="F104" s="272"/>
      <c r="G104" s="272"/>
      <c r="H104" s="198" t="b">
        <f>G104=E104</f>
        <v>1</v>
      </c>
      <c r="I104" s="304"/>
    </row>
    <row r="105" spans="1:19" ht="34.5" customHeight="1" x14ac:dyDescent="0.35">
      <c r="A105" s="269"/>
      <c r="B105" s="52" t="s">
        <v>93</v>
      </c>
      <c r="C105" s="270"/>
      <c r="D105" s="271"/>
      <c r="E105" s="262"/>
      <c r="F105" s="272"/>
      <c r="G105" s="272"/>
      <c r="H105" s="198"/>
      <c r="I105" s="304"/>
    </row>
    <row r="106" spans="1:19" ht="21.75" customHeight="1" x14ac:dyDescent="0.35"/>
    <row r="107" spans="1:19" x14ac:dyDescent="0.35">
      <c r="A107" s="301" t="s">
        <v>229</v>
      </c>
      <c r="B107" s="301"/>
      <c r="C107" s="301"/>
      <c r="D107" s="301"/>
      <c r="E107" s="301"/>
      <c r="F107" s="301"/>
    </row>
    <row r="108" spans="1:19" ht="45" customHeight="1" x14ac:dyDescent="0.35">
      <c r="A108" s="302" t="s">
        <v>330</v>
      </c>
      <c r="B108" s="303"/>
      <c r="C108" s="303"/>
      <c r="D108" s="303"/>
      <c r="E108" s="303"/>
      <c r="F108" s="303"/>
    </row>
    <row r="109" spans="1:19" hidden="1" x14ac:dyDescent="0.35"/>
    <row r="110" spans="1:19" hidden="1" x14ac:dyDescent="0.35">
      <c r="A110" s="57" t="s">
        <v>278</v>
      </c>
    </row>
    <row r="111" spans="1:19" hidden="1" x14ac:dyDescent="0.35">
      <c r="A111" s="58"/>
    </row>
    <row r="112" spans="1:19" hidden="1" x14ac:dyDescent="0.35">
      <c r="A112" s="58"/>
    </row>
    <row r="113" spans="1:1" hidden="1" x14ac:dyDescent="0.35">
      <c r="A113" s="58"/>
    </row>
    <row r="114" spans="1:1" hidden="1" x14ac:dyDescent="0.35">
      <c r="A114" s="58"/>
    </row>
    <row r="115" spans="1:1" hidden="1" x14ac:dyDescent="0.35">
      <c r="A115" s="58"/>
    </row>
    <row r="116" spans="1:1" hidden="1" x14ac:dyDescent="0.35">
      <c r="A116" s="58"/>
    </row>
    <row r="117" spans="1:1" hidden="1" x14ac:dyDescent="0.35">
      <c r="A117" s="58"/>
    </row>
    <row r="118" spans="1:1" hidden="1" x14ac:dyDescent="0.35">
      <c r="A118" s="58"/>
    </row>
    <row r="119" spans="1:1" hidden="1" x14ac:dyDescent="0.35">
      <c r="A119" s="58"/>
    </row>
    <row r="120" spans="1:1" hidden="1" x14ac:dyDescent="0.35">
      <c r="A120" s="58"/>
    </row>
    <row r="121" spans="1:1" hidden="1" x14ac:dyDescent="0.35">
      <c r="A121" s="58"/>
    </row>
    <row r="122" spans="1:1" hidden="1" x14ac:dyDescent="0.35">
      <c r="A122" s="58"/>
    </row>
    <row r="123" spans="1:1" hidden="1" x14ac:dyDescent="0.35">
      <c r="A123" s="58"/>
    </row>
    <row r="124" spans="1:1" hidden="1" x14ac:dyDescent="0.35">
      <c r="A124" s="58"/>
    </row>
    <row r="125" spans="1:1" hidden="1" x14ac:dyDescent="0.35">
      <c r="A125" s="58"/>
    </row>
    <row r="126" spans="1:1" hidden="1" x14ac:dyDescent="0.35">
      <c r="A126" s="58"/>
    </row>
    <row r="127" spans="1:1" x14ac:dyDescent="0.35"/>
  </sheetData>
  <protectedRanges>
    <protectedRange algorithmName="SHA-512" hashValue="oBu0U8UHWW1M9CSBiI+2smTKBuiu7zBMJPASzxaVW3/YfTocFsZXqoNbgPAUiXKweXnE/VLNBYi0YQjO9aRFIA==" saltValue="Uwn4xh4BFhDBBJp6oLNp+A==" spinCount="100000" sqref="H1:I2 H4:I8 I9:I10 H11:I1048576 F16:F17 F70:F71 F77:F80 F83:F86" name="Indicadores"/>
    <protectedRange algorithmName="SHA-512" hashValue="oBu0U8UHWW1M9CSBiI+2smTKBuiu7zBMJPASzxaVW3/YfTocFsZXqoNbgPAUiXKweXnE/VLNBYi0YQjO9aRFIA==" saltValue="Uwn4xh4BFhDBBJp6oLNp+A==" spinCount="100000" sqref="G1:G2 G4:G5 G9:G10 G106:G1048576" name="Indicadores_1"/>
  </protectedRanges>
  <mergeCells count="322">
    <mergeCell ref="J70:J71"/>
    <mergeCell ref="J16:J17"/>
    <mergeCell ref="G95:G96"/>
    <mergeCell ref="G99:G100"/>
    <mergeCell ref="G102:G103"/>
    <mergeCell ref="G104:G105"/>
    <mergeCell ref="J77:J78"/>
    <mergeCell ref="K77:K78"/>
    <mergeCell ref="J79:J80"/>
    <mergeCell ref="K79:K80"/>
    <mergeCell ref="J81:J82"/>
    <mergeCell ref="K81:K82"/>
    <mergeCell ref="J83:J84"/>
    <mergeCell ref="J85:J86"/>
    <mergeCell ref="G74:G75"/>
    <mergeCell ref="G77:G78"/>
    <mergeCell ref="G79:G80"/>
    <mergeCell ref="G81:G82"/>
    <mergeCell ref="G83:G84"/>
    <mergeCell ref="G85:G86"/>
    <mergeCell ref="G88:G89"/>
    <mergeCell ref="G90:G91"/>
    <mergeCell ref="G92:G93"/>
    <mergeCell ref="G51:G52"/>
    <mergeCell ref="G53:G54"/>
    <mergeCell ref="G57:G58"/>
    <mergeCell ref="G59:G60"/>
    <mergeCell ref="G63:G64"/>
    <mergeCell ref="G65:G66"/>
    <mergeCell ref="G67:G68"/>
    <mergeCell ref="G70:G71"/>
    <mergeCell ref="G72:G73"/>
    <mergeCell ref="G28:G29"/>
    <mergeCell ref="G30:G31"/>
    <mergeCell ref="G33:G34"/>
    <mergeCell ref="G35:G36"/>
    <mergeCell ref="G37:G38"/>
    <mergeCell ref="G40:G41"/>
    <mergeCell ref="G42:G43"/>
    <mergeCell ref="G44:G45"/>
    <mergeCell ref="G46:G47"/>
    <mergeCell ref="G7:G8"/>
    <mergeCell ref="G12:G13"/>
    <mergeCell ref="G14:G15"/>
    <mergeCell ref="G16:G17"/>
    <mergeCell ref="G18:G19"/>
    <mergeCell ref="G20:G21"/>
    <mergeCell ref="G22:G23"/>
    <mergeCell ref="G24:G25"/>
    <mergeCell ref="G26:G27"/>
    <mergeCell ref="I104:I105"/>
    <mergeCell ref="I90:I91"/>
    <mergeCell ref="I92:I93"/>
    <mergeCell ref="I95:I96"/>
    <mergeCell ref="I99:I100"/>
    <mergeCell ref="I102:I103"/>
    <mergeCell ref="I79:I80"/>
    <mergeCell ref="I81:I82"/>
    <mergeCell ref="I83:I84"/>
    <mergeCell ref="I85:I86"/>
    <mergeCell ref="I88:I89"/>
    <mergeCell ref="I67:I68"/>
    <mergeCell ref="I70:I71"/>
    <mergeCell ref="I72:I73"/>
    <mergeCell ref="I74:I75"/>
    <mergeCell ref="I77:I78"/>
    <mergeCell ref="I53:I54"/>
    <mergeCell ref="I57:I58"/>
    <mergeCell ref="I59:I60"/>
    <mergeCell ref="I63:I64"/>
    <mergeCell ref="I65:I66"/>
    <mergeCell ref="I40:I41"/>
    <mergeCell ref="I42:I43"/>
    <mergeCell ref="I44:I45"/>
    <mergeCell ref="I46:I47"/>
    <mergeCell ref="I51:I52"/>
    <mergeCell ref="I28:I29"/>
    <mergeCell ref="I30:I31"/>
    <mergeCell ref="I33:I34"/>
    <mergeCell ref="I35:I36"/>
    <mergeCell ref="I37:I38"/>
    <mergeCell ref="A107:F107"/>
    <mergeCell ref="A108:F108"/>
    <mergeCell ref="I7:I8"/>
    <mergeCell ref="I12:I13"/>
    <mergeCell ref="I14:I15"/>
    <mergeCell ref="I16:I17"/>
    <mergeCell ref="I18:I19"/>
    <mergeCell ref="I20:I21"/>
    <mergeCell ref="I22:I23"/>
    <mergeCell ref="I24:I25"/>
    <mergeCell ref="I26:I27"/>
    <mergeCell ref="A10:F10"/>
    <mergeCell ref="B11:C11"/>
    <mergeCell ref="A12:A13"/>
    <mergeCell ref="C12:C13"/>
    <mergeCell ref="D12:D13"/>
    <mergeCell ref="F12:F13"/>
    <mergeCell ref="A16:A17"/>
    <mergeCell ref="B16:C16"/>
    <mergeCell ref="D16:D17"/>
    <mergeCell ref="F16:F17"/>
    <mergeCell ref="B17:C17"/>
    <mergeCell ref="E16:E17"/>
    <mergeCell ref="A18:A19"/>
    <mergeCell ref="A5:F5"/>
    <mergeCell ref="B6:C6"/>
    <mergeCell ref="A7:A8"/>
    <mergeCell ref="C7:C8"/>
    <mergeCell ref="D7:D8"/>
    <mergeCell ref="F7:F8"/>
    <mergeCell ref="A14:A15"/>
    <mergeCell ref="C14:C15"/>
    <mergeCell ref="D14:D15"/>
    <mergeCell ref="F14:F15"/>
    <mergeCell ref="C18:C19"/>
    <mergeCell ref="D18:D19"/>
    <mergeCell ref="F18:F19"/>
    <mergeCell ref="A20:A21"/>
    <mergeCell ref="C20:C21"/>
    <mergeCell ref="D20:D21"/>
    <mergeCell ref="F20:F21"/>
    <mergeCell ref="E18:E19"/>
    <mergeCell ref="E20:E21"/>
    <mergeCell ref="A22:A23"/>
    <mergeCell ref="C22:C23"/>
    <mergeCell ref="D22:D23"/>
    <mergeCell ref="F22:F23"/>
    <mergeCell ref="A24:A25"/>
    <mergeCell ref="C24:C25"/>
    <mergeCell ref="D24:D25"/>
    <mergeCell ref="F24:F25"/>
    <mergeCell ref="E22:E23"/>
    <mergeCell ref="E24:E25"/>
    <mergeCell ref="A26:A27"/>
    <mergeCell ref="C26:C27"/>
    <mergeCell ref="D26:D27"/>
    <mergeCell ref="F26:F27"/>
    <mergeCell ref="A28:A29"/>
    <mergeCell ref="C28:C29"/>
    <mergeCell ref="D28:D29"/>
    <mergeCell ref="F28:F29"/>
    <mergeCell ref="E26:E27"/>
    <mergeCell ref="E28:E29"/>
    <mergeCell ref="A35:A36"/>
    <mergeCell ref="C35:C36"/>
    <mergeCell ref="D35:D36"/>
    <mergeCell ref="F35:F36"/>
    <mergeCell ref="A37:A38"/>
    <mergeCell ref="C37:C38"/>
    <mergeCell ref="D37:D38"/>
    <mergeCell ref="F37:F38"/>
    <mergeCell ref="A30:A31"/>
    <mergeCell ref="C30:C31"/>
    <mergeCell ref="D30:D31"/>
    <mergeCell ref="F30:F31"/>
    <mergeCell ref="B32:C32"/>
    <mergeCell ref="A33:A34"/>
    <mergeCell ref="C33:C34"/>
    <mergeCell ref="D33:D34"/>
    <mergeCell ref="F33:F34"/>
    <mergeCell ref="E30:E31"/>
    <mergeCell ref="E33:E34"/>
    <mergeCell ref="E35:E36"/>
    <mergeCell ref="E37:E38"/>
    <mergeCell ref="B39:C39"/>
    <mergeCell ref="A40:A41"/>
    <mergeCell ref="C40:C41"/>
    <mergeCell ref="D40:D41"/>
    <mergeCell ref="F40:F41"/>
    <mergeCell ref="A42:A43"/>
    <mergeCell ref="C42:C43"/>
    <mergeCell ref="D42:D43"/>
    <mergeCell ref="F42:F43"/>
    <mergeCell ref="E40:E41"/>
    <mergeCell ref="E42:E43"/>
    <mergeCell ref="A44:A45"/>
    <mergeCell ref="B44:C44"/>
    <mergeCell ref="D44:D45"/>
    <mergeCell ref="F44:F45"/>
    <mergeCell ref="B45:C45"/>
    <mergeCell ref="A46:A47"/>
    <mergeCell ref="C46:C47"/>
    <mergeCell ref="D46:D47"/>
    <mergeCell ref="F46:F47"/>
    <mergeCell ref="E46:E47"/>
    <mergeCell ref="E44:E45"/>
    <mergeCell ref="F51:F52"/>
    <mergeCell ref="A53:A54"/>
    <mergeCell ref="C53:C54"/>
    <mergeCell ref="D53:D54"/>
    <mergeCell ref="F53:F54"/>
    <mergeCell ref="B55:C55"/>
    <mergeCell ref="B48:C48"/>
    <mergeCell ref="B49:C49"/>
    <mergeCell ref="B50:C50"/>
    <mergeCell ref="A51:A52"/>
    <mergeCell ref="C51:C52"/>
    <mergeCell ref="D51:D52"/>
    <mergeCell ref="E51:E52"/>
    <mergeCell ref="E53:E54"/>
    <mergeCell ref="B61:C61"/>
    <mergeCell ref="B62:C62"/>
    <mergeCell ref="A63:A64"/>
    <mergeCell ref="C63:C64"/>
    <mergeCell ref="D63:D64"/>
    <mergeCell ref="F63:F64"/>
    <mergeCell ref="E63:E64"/>
    <mergeCell ref="B56:C56"/>
    <mergeCell ref="A57:A58"/>
    <mergeCell ref="C57:C58"/>
    <mergeCell ref="D57:D58"/>
    <mergeCell ref="F57:F58"/>
    <mergeCell ref="A59:A60"/>
    <mergeCell ref="C59:C60"/>
    <mergeCell ref="D59:D60"/>
    <mergeCell ref="F59:F60"/>
    <mergeCell ref="E57:E58"/>
    <mergeCell ref="E59:E60"/>
    <mergeCell ref="B69:C69"/>
    <mergeCell ref="A70:A71"/>
    <mergeCell ref="B70:C70"/>
    <mergeCell ref="D70:D71"/>
    <mergeCell ref="F70:F71"/>
    <mergeCell ref="B71:C71"/>
    <mergeCell ref="A65:A66"/>
    <mergeCell ref="C65:C66"/>
    <mergeCell ref="D65:D66"/>
    <mergeCell ref="F65:F66"/>
    <mergeCell ref="A67:A68"/>
    <mergeCell ref="B67:C67"/>
    <mergeCell ref="D67:D68"/>
    <mergeCell ref="F67:F68"/>
    <mergeCell ref="B68:C68"/>
    <mergeCell ref="E65:E66"/>
    <mergeCell ref="B76:C76"/>
    <mergeCell ref="A77:A78"/>
    <mergeCell ref="B77:C77"/>
    <mergeCell ref="D77:D78"/>
    <mergeCell ref="F77:F78"/>
    <mergeCell ref="B78:C78"/>
    <mergeCell ref="A72:A73"/>
    <mergeCell ref="C72:C73"/>
    <mergeCell ref="D72:D73"/>
    <mergeCell ref="F72:F73"/>
    <mergeCell ref="A74:A75"/>
    <mergeCell ref="C74:C75"/>
    <mergeCell ref="D74:D75"/>
    <mergeCell ref="F74:F75"/>
    <mergeCell ref="A79:A80"/>
    <mergeCell ref="C79:C80"/>
    <mergeCell ref="D79:D80"/>
    <mergeCell ref="F79:F80"/>
    <mergeCell ref="A81:A82"/>
    <mergeCell ref="B81:C81"/>
    <mergeCell ref="D81:D82"/>
    <mergeCell ref="F81:F82"/>
    <mergeCell ref="B82:C82"/>
    <mergeCell ref="E81:E82"/>
    <mergeCell ref="D92:D93"/>
    <mergeCell ref="E90:E91"/>
    <mergeCell ref="B87:C87"/>
    <mergeCell ref="A88:A89"/>
    <mergeCell ref="C88:C89"/>
    <mergeCell ref="D88:D89"/>
    <mergeCell ref="F88:F89"/>
    <mergeCell ref="E88:E89"/>
    <mergeCell ref="A83:A84"/>
    <mergeCell ref="C83:C84"/>
    <mergeCell ref="D83:D84"/>
    <mergeCell ref="F83:F84"/>
    <mergeCell ref="A85:A86"/>
    <mergeCell ref="C85:C86"/>
    <mergeCell ref="D85:D86"/>
    <mergeCell ref="F85:F86"/>
    <mergeCell ref="E83:E84"/>
    <mergeCell ref="E85:E86"/>
    <mergeCell ref="E92:E93"/>
    <mergeCell ref="A104:A105"/>
    <mergeCell ref="C104:C105"/>
    <mergeCell ref="D104:D105"/>
    <mergeCell ref="F104:F105"/>
    <mergeCell ref="B97:C97"/>
    <mergeCell ref="B98:C98"/>
    <mergeCell ref="A99:A100"/>
    <mergeCell ref="C99:C100"/>
    <mergeCell ref="D99:D100"/>
    <mergeCell ref="F99:F100"/>
    <mergeCell ref="A1:F1"/>
    <mergeCell ref="A2:F2"/>
    <mergeCell ref="A3:F3"/>
    <mergeCell ref="E7:E8"/>
    <mergeCell ref="E12:E13"/>
    <mergeCell ref="E14:E15"/>
    <mergeCell ref="B101:C101"/>
    <mergeCell ref="A102:A103"/>
    <mergeCell ref="C102:C103"/>
    <mergeCell ref="D102:D103"/>
    <mergeCell ref="F102:F103"/>
    <mergeCell ref="B94:C94"/>
    <mergeCell ref="A95:A96"/>
    <mergeCell ref="B95:C95"/>
    <mergeCell ref="D95:D96"/>
    <mergeCell ref="F95:F96"/>
    <mergeCell ref="B96:C96"/>
    <mergeCell ref="A90:A91"/>
    <mergeCell ref="C90:C91"/>
    <mergeCell ref="D90:D91"/>
    <mergeCell ref="F90:F91"/>
    <mergeCell ref="F92:F93"/>
    <mergeCell ref="A92:A93"/>
    <mergeCell ref="C92:C93"/>
    <mergeCell ref="E95:E96"/>
    <mergeCell ref="E99:E100"/>
    <mergeCell ref="E102:E103"/>
    <mergeCell ref="E104:E105"/>
    <mergeCell ref="E67:E68"/>
    <mergeCell ref="E70:E71"/>
    <mergeCell ref="E72:E73"/>
    <mergeCell ref="E74:E75"/>
    <mergeCell ref="E77:E78"/>
    <mergeCell ref="E79:E80"/>
  </mergeCells>
  <phoneticPr fontId="21" type="noConversion"/>
  <conditionalFormatting sqref="H7:H8">
    <cfRule type="cellIs" dxfId="51" priority="9" operator="equal">
      <formula>TRUE</formula>
    </cfRule>
  </conditionalFormatting>
  <conditionalFormatting sqref="H12:H105">
    <cfRule type="cellIs" dxfId="50" priority="8" operator="equal">
      <formula>TRUE</formula>
    </cfRule>
  </conditionalFormatting>
  <conditionalFormatting sqref="J16:J17">
    <cfRule type="containsText" dxfId="49" priority="5" operator="containsText" text="Verdadeiro">
      <formula>NOT(ISERROR(SEARCH("Verdadeiro",J16)))</formula>
    </cfRule>
    <cfRule type="containsText" dxfId="48" priority="6" operator="containsText" text="Falso">
      <formula>NOT(ISERROR(SEARCH("Falso",J16)))</formula>
    </cfRule>
  </conditionalFormatting>
  <conditionalFormatting sqref="J77:J86">
    <cfRule type="containsText" dxfId="47" priority="1" operator="containsText" text="Verdadeiro">
      <formula>NOT(ISERROR(SEARCH("Verdadeiro",J77)))</formula>
    </cfRule>
    <cfRule type="containsText" dxfId="46" priority="2" operator="containsText" text="Falso">
      <formula>NOT(ISERROR(SEARCH("Falso",J77)))</formula>
    </cfRule>
  </conditionalFormatting>
  <conditionalFormatting sqref="J70:J71">
    <cfRule type="containsText" dxfId="45" priority="3" operator="containsText" text="Verdadeiro">
      <formula>NOT(ISERROR(SEARCH("Verdadeiro",J70)))</formula>
    </cfRule>
    <cfRule type="containsText" dxfId="44" priority="4" operator="containsText" text="Falso">
      <formula>NOT(ISERROR(SEARCH("Falso",J70)))</formula>
    </cfRule>
  </conditionalFormatting>
  <pageMargins left="0.51181102362204722" right="0.51181102362204722" top="0.78740157480314965" bottom="0.78740157480314965" header="0.31496062992125984" footer="0.31496062992125984"/>
  <pageSetup paperSize="9" scale="28" orientation="portrait" r:id="rId1"/>
  <rowBreaks count="1" manualBreakCount="1">
    <brk id="49" max="10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'Validação de dados'!$D$1:$D$16</xm:f>
          </x14:formula1>
          <xm:sqref>A111:A126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FF6900"/>
    <pageSetUpPr fitToPage="1"/>
  </sheetPr>
  <dimension ref="A1:XFC87"/>
  <sheetViews>
    <sheetView showGridLines="0" topLeftCell="C22" zoomScale="60" zoomScaleNormal="60" zoomScaleSheetLayoutView="80" workbookViewId="0">
      <selection activeCell="D26" sqref="D26"/>
    </sheetView>
  </sheetViews>
  <sheetFormatPr defaultColWidth="0" defaultRowHeight="26.25" zeroHeight="1" x14ac:dyDescent="0.4"/>
  <cols>
    <col min="1" max="1" width="29.85546875" style="56" bestFit="1" customWidth="1"/>
    <col min="2" max="2" width="13" style="56" bestFit="1" customWidth="1"/>
    <col min="3" max="3" width="41.7109375" style="56" customWidth="1"/>
    <col min="4" max="4" width="61.42578125" style="56" customWidth="1"/>
    <col min="5" max="5" width="57" style="56" customWidth="1"/>
    <col min="6" max="6" width="31.42578125" style="56" customWidth="1"/>
    <col min="7" max="7" width="52.140625" style="56" customWidth="1"/>
    <col min="8" max="9" width="20" style="56" customWidth="1"/>
    <col min="10" max="10" width="24.28515625" style="56" customWidth="1"/>
    <col min="11" max="11" width="14.140625" style="56" bestFit="1" customWidth="1"/>
    <col min="12" max="14" width="13.42578125" style="56" hidden="1" customWidth="1"/>
    <col min="15" max="17" width="13.28515625" style="56" hidden="1" customWidth="1"/>
    <col min="18" max="18" width="13.42578125" style="56" hidden="1" customWidth="1"/>
    <col min="19" max="19" width="11.7109375" style="56" hidden="1" customWidth="1"/>
    <col min="20" max="20" width="13.28515625" style="56" hidden="1" customWidth="1"/>
    <col min="21" max="21" width="6.140625" style="56" hidden="1"/>
    <col min="22" max="22" width="12.7109375" style="56" hidden="1"/>
    <col min="23" max="23" width="26" style="56" hidden="1"/>
    <col min="24" max="25" width="9.140625" style="56" hidden="1"/>
    <col min="26" max="26" width="12.28515625" style="56" hidden="1"/>
    <col min="27" max="30" width="9.140625" style="56" hidden="1"/>
    <col min="31" max="35" width="9.140625" style="76" hidden="1"/>
    <col min="36" max="36" width="10" style="76" hidden="1"/>
    <col min="37" max="16383" width="9.140625" style="76" hidden="1"/>
    <col min="16384" max="16384" width="0.140625" style="76" customWidth="1"/>
  </cols>
  <sheetData>
    <row r="1" spans="1:30" ht="51.75" customHeight="1" x14ac:dyDescent="0.4">
      <c r="A1" s="328" t="s">
        <v>342</v>
      </c>
      <c r="B1" s="328"/>
      <c r="C1" s="328"/>
      <c r="D1" s="328"/>
      <c r="E1" s="328"/>
      <c r="F1" s="265"/>
      <c r="G1" s="265"/>
      <c r="H1" s="265"/>
      <c r="I1" s="265"/>
      <c r="J1" s="328"/>
      <c r="K1" s="328"/>
    </row>
    <row r="2" spans="1:30" s="138" customFormat="1" x14ac:dyDescent="0.25">
      <c r="A2" s="301" t="str">
        <f>'Indicadores e Metas'!A2</f>
        <v xml:space="preserve">CAU/BA  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1:30" s="138" customFormat="1" x14ac:dyDescent="0.25">
      <c r="A3" s="301" t="s">
        <v>343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</row>
    <row r="4" spans="1:30" s="99" customFormat="1" x14ac:dyDescent="0.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1:30" s="138" customFormat="1" x14ac:dyDescent="0.25">
      <c r="A5" s="331" t="s">
        <v>66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1:30" s="138" customFormat="1" ht="26.25" customHeight="1" x14ac:dyDescent="0.25">
      <c r="A6" s="329" t="s">
        <v>4</v>
      </c>
      <c r="B6" s="321" t="s">
        <v>147</v>
      </c>
      <c r="C6" s="321" t="s">
        <v>5</v>
      </c>
      <c r="D6" s="321" t="s">
        <v>54</v>
      </c>
      <c r="E6" s="321" t="s">
        <v>34</v>
      </c>
      <c r="F6" s="321" t="s">
        <v>279</v>
      </c>
      <c r="G6" s="323" t="s">
        <v>67</v>
      </c>
      <c r="H6" s="321" t="s">
        <v>340</v>
      </c>
      <c r="I6" s="323" t="s">
        <v>341</v>
      </c>
      <c r="J6" s="322" t="s">
        <v>349</v>
      </c>
      <c r="K6" s="322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</row>
    <row r="7" spans="1:30" s="138" customFormat="1" ht="48.75" customHeight="1" x14ac:dyDescent="0.25">
      <c r="A7" s="330"/>
      <c r="B7" s="322"/>
      <c r="C7" s="322"/>
      <c r="D7" s="322"/>
      <c r="E7" s="322"/>
      <c r="F7" s="322"/>
      <c r="G7" s="321"/>
      <c r="H7" s="322"/>
      <c r="I7" s="321"/>
      <c r="J7" s="152" t="s">
        <v>280</v>
      </c>
      <c r="K7" s="152" t="s">
        <v>156</v>
      </c>
      <c r="L7" s="137"/>
      <c r="M7" s="137"/>
      <c r="N7" s="137"/>
      <c r="O7" s="137"/>
      <c r="P7" s="137"/>
      <c r="Q7" s="137"/>
      <c r="R7" s="137"/>
      <c r="S7" s="137"/>
      <c r="T7" s="137"/>
      <c r="U7" s="235"/>
      <c r="V7" s="217"/>
      <c r="W7" s="28"/>
      <c r="X7" s="28"/>
      <c r="Y7" s="28"/>
      <c r="Z7" s="28"/>
      <c r="AA7" s="28"/>
      <c r="AB7" s="28"/>
      <c r="AC7" s="137"/>
      <c r="AD7" s="137"/>
    </row>
    <row r="8" spans="1:30" s="138" customFormat="1" ht="62.45" customHeight="1" x14ac:dyDescent="0.25">
      <c r="A8" s="191" t="s">
        <v>383</v>
      </c>
      <c r="B8" s="192" t="s">
        <v>285</v>
      </c>
      <c r="C8" s="11" t="s">
        <v>401</v>
      </c>
      <c r="D8" s="11" t="s">
        <v>433</v>
      </c>
      <c r="E8" s="11" t="s">
        <v>25</v>
      </c>
      <c r="F8" s="11"/>
      <c r="G8" s="196" t="s">
        <v>465</v>
      </c>
      <c r="H8" s="12">
        <v>298459.33999999997</v>
      </c>
      <c r="I8" s="12">
        <v>250384.84</v>
      </c>
      <c r="J8" s="65">
        <f t="shared" ref="J8:J39" si="0">I8-H8</f>
        <v>-48074.499999999971</v>
      </c>
      <c r="K8" s="66">
        <f t="shared" ref="K8:K42" si="1">IFERROR(J8/H8*100,)</f>
        <v>-16.107554214922533</v>
      </c>
      <c r="L8" s="198" t="b">
        <f>A8='Quadro Geral'!$A$8</f>
        <v>1</v>
      </c>
      <c r="M8" s="198" t="b">
        <f>B8='Quadro Geral'!$B$8</f>
        <v>1</v>
      </c>
      <c r="N8" s="198" t="b">
        <f>C8='Quadro Geral'!$C$8</f>
        <v>1</v>
      </c>
      <c r="O8" s="198" t="b">
        <f>D8='[2] Quadro Geral '!$E$8</f>
        <v>1</v>
      </c>
      <c r="P8" s="198" t="b">
        <f>E8='[2] Quadro Geral '!$F$8</f>
        <v>1</v>
      </c>
      <c r="Q8" s="198" t="b">
        <f>G8='[2] Quadro Geral '!$H$8</f>
        <v>1</v>
      </c>
      <c r="R8" s="198" t="b">
        <f>H8='[2] Quadro Geral '!$L$8</f>
        <v>1</v>
      </c>
      <c r="S8" s="137"/>
      <c r="T8" s="137"/>
      <c r="U8" s="218"/>
      <c r="V8" s="137"/>
      <c r="W8" s="137"/>
      <c r="X8" s="137"/>
      <c r="Y8" s="137"/>
      <c r="Z8" s="137"/>
      <c r="AA8" s="137"/>
      <c r="AB8" s="28"/>
      <c r="AC8" s="137"/>
      <c r="AD8" s="137"/>
    </row>
    <row r="9" spans="1:30" s="138" customFormat="1" ht="94.5" x14ac:dyDescent="0.25">
      <c r="A9" s="191" t="s">
        <v>384</v>
      </c>
      <c r="B9" s="192" t="s">
        <v>285</v>
      </c>
      <c r="C9" s="11" t="s">
        <v>402</v>
      </c>
      <c r="D9" s="11" t="s">
        <v>434</v>
      </c>
      <c r="E9" s="11" t="s">
        <v>31</v>
      </c>
      <c r="F9" s="11"/>
      <c r="G9" s="11" t="s">
        <v>466</v>
      </c>
      <c r="H9" s="12">
        <v>898947.73</v>
      </c>
      <c r="I9" s="12">
        <v>875492.81</v>
      </c>
      <c r="J9" s="65">
        <f t="shared" si="0"/>
        <v>-23454.919999999925</v>
      </c>
      <c r="K9" s="66">
        <f t="shared" si="1"/>
        <v>-2.6091528147025773</v>
      </c>
      <c r="L9" s="198" t="b">
        <f>A9='Quadro Geral'!$A$9</f>
        <v>1</v>
      </c>
      <c r="M9" s="198" t="b">
        <f>'Quadro Geral'!$B$9=B9</f>
        <v>1</v>
      </c>
      <c r="N9" s="198" t="b">
        <f>'Quadro Geral'!$C$9=C9</f>
        <v>1</v>
      </c>
      <c r="O9" s="198" t="b">
        <f>D9='[2] Quadro Geral '!$E$9</f>
        <v>1</v>
      </c>
      <c r="P9" s="198" t="b">
        <f>E9='[2] Quadro Geral '!$F$9</f>
        <v>1</v>
      </c>
      <c r="Q9" s="198" t="b">
        <f>G9='[2] Quadro Geral '!$H$9</f>
        <v>1</v>
      </c>
      <c r="R9" s="198" t="b">
        <f>H9='[2] Quadro Geral '!$L$9</f>
        <v>1</v>
      </c>
      <c r="S9" s="137"/>
      <c r="T9" s="137"/>
      <c r="U9" s="218"/>
      <c r="V9" s="137"/>
      <c r="W9" s="137"/>
      <c r="X9" s="137"/>
      <c r="Y9" s="137"/>
      <c r="Z9" s="137"/>
      <c r="AA9" s="137"/>
      <c r="AB9" s="28"/>
      <c r="AC9" s="137"/>
      <c r="AD9" s="137"/>
    </row>
    <row r="10" spans="1:30" s="138" customFormat="1" ht="31.5" x14ac:dyDescent="0.25">
      <c r="A10" s="191" t="s">
        <v>385</v>
      </c>
      <c r="B10" s="192" t="s">
        <v>285</v>
      </c>
      <c r="C10" s="11" t="s">
        <v>403</v>
      </c>
      <c r="D10" s="11" t="s">
        <v>435</v>
      </c>
      <c r="E10" s="11" t="s">
        <v>112</v>
      </c>
      <c r="F10" s="11"/>
      <c r="G10" s="11" t="s">
        <v>467</v>
      </c>
      <c r="H10" s="12">
        <v>220961.44</v>
      </c>
      <c r="I10" s="12">
        <v>237848.5</v>
      </c>
      <c r="J10" s="65">
        <f t="shared" si="0"/>
        <v>16887.059999999998</v>
      </c>
      <c r="K10" s="66">
        <f t="shared" si="1"/>
        <v>7.6425370870139133</v>
      </c>
      <c r="L10" s="198" t="b">
        <f>A10='Quadro Geral'!$A$10</f>
        <v>1</v>
      </c>
      <c r="M10" s="198" t="b">
        <f>'Quadro Geral'!$B$9=B10</f>
        <v>1</v>
      </c>
      <c r="N10" s="198" t="b">
        <f>C10='Quadro Geral'!$C$10</f>
        <v>1</v>
      </c>
      <c r="O10" s="198" t="b">
        <f>D10='[2] Quadro Geral '!$E$10</f>
        <v>1</v>
      </c>
      <c r="P10" s="198" t="b">
        <f>E10='[2] Quadro Geral '!$F$10</f>
        <v>1</v>
      </c>
      <c r="Q10" s="198" t="b">
        <f>G10='[2] Quadro Geral '!$H$10</f>
        <v>1</v>
      </c>
      <c r="R10" s="198" t="b">
        <f>H10='[2] Quadro Geral '!$L$10</f>
        <v>1</v>
      </c>
      <c r="S10" s="137"/>
      <c r="T10" s="137"/>
      <c r="U10" s="208"/>
      <c r="V10" s="137"/>
      <c r="W10" s="137"/>
      <c r="X10" s="137"/>
      <c r="Y10" s="137"/>
      <c r="Z10" s="137"/>
      <c r="AA10" s="137"/>
      <c r="AB10" s="28"/>
      <c r="AC10" s="137"/>
      <c r="AD10" s="137"/>
    </row>
    <row r="11" spans="1:30" s="138" customFormat="1" ht="63" x14ac:dyDescent="0.25">
      <c r="A11" s="191" t="s">
        <v>386</v>
      </c>
      <c r="B11" s="192" t="s">
        <v>285</v>
      </c>
      <c r="C11" s="11" t="s">
        <v>404</v>
      </c>
      <c r="D11" s="11" t="s">
        <v>436</v>
      </c>
      <c r="E11" s="11" t="s">
        <v>26</v>
      </c>
      <c r="F11" s="11"/>
      <c r="G11" s="11" t="s">
        <v>468</v>
      </c>
      <c r="H11" s="12">
        <v>62573.43</v>
      </c>
      <c r="I11" s="12">
        <v>168124.89</v>
      </c>
      <c r="J11" s="65">
        <f t="shared" si="0"/>
        <v>105551.46000000002</v>
      </c>
      <c r="K11" s="66">
        <f t="shared" si="1"/>
        <v>168.68415236307172</v>
      </c>
      <c r="L11" s="198" t="b">
        <f>A11='Quadro Geral'!$A$11</f>
        <v>1</v>
      </c>
      <c r="M11" s="198" t="b">
        <f>'Quadro Geral'!$B$9=B11</f>
        <v>1</v>
      </c>
      <c r="N11" s="198" t="b">
        <f>C11='Quadro Geral'!$C$11</f>
        <v>1</v>
      </c>
      <c r="O11" s="198" t="b">
        <f>D11='[2] Quadro Geral '!$E$11</f>
        <v>1</v>
      </c>
      <c r="P11" s="198" t="b">
        <f>E11='[2] Quadro Geral '!$F$11</f>
        <v>1</v>
      </c>
      <c r="Q11" s="198" t="b">
        <f>G11='[2] Quadro Geral '!$H$11</f>
        <v>1</v>
      </c>
      <c r="R11" s="198" t="b">
        <f>H11='[2] Quadro Geral '!$L$11</f>
        <v>1</v>
      </c>
      <c r="S11" s="137"/>
      <c r="T11" s="137"/>
      <c r="U11" s="208"/>
      <c r="V11" s="137"/>
      <c r="W11" s="137"/>
      <c r="X11" s="137"/>
      <c r="Y11" s="137"/>
      <c r="Z11" s="137"/>
      <c r="AA11" s="137"/>
      <c r="AB11" s="28"/>
      <c r="AC11" s="137"/>
      <c r="AD11" s="137"/>
    </row>
    <row r="12" spans="1:30" s="138" customFormat="1" ht="47.25" x14ac:dyDescent="0.25">
      <c r="A12" s="191" t="s">
        <v>387</v>
      </c>
      <c r="B12" s="192" t="s">
        <v>285</v>
      </c>
      <c r="C12" s="11" t="s">
        <v>405</v>
      </c>
      <c r="D12" s="11" t="s">
        <v>437</v>
      </c>
      <c r="E12" s="11" t="s">
        <v>28</v>
      </c>
      <c r="F12" s="11"/>
      <c r="G12" s="11" t="s">
        <v>469</v>
      </c>
      <c r="H12" s="12">
        <v>455824.47000000003</v>
      </c>
      <c r="I12" s="12">
        <f>427503.102013959+'Anexo 1. Fontes e Aplicações'!J40</f>
        <v>427503.10201395774</v>
      </c>
      <c r="J12" s="65">
        <f t="shared" si="0"/>
        <v>-28321.367986042285</v>
      </c>
      <c r="K12" s="66">
        <f t="shared" si="1"/>
        <v>-6.2132179928914928</v>
      </c>
      <c r="L12" s="198" t="b">
        <f>A12='Quadro Geral'!$A$12</f>
        <v>1</v>
      </c>
      <c r="M12" s="198" t="b">
        <f>'Quadro Geral'!$B$9=B12</f>
        <v>1</v>
      </c>
      <c r="N12" s="198" t="b">
        <f>C12='Quadro Geral'!$C$12</f>
        <v>1</v>
      </c>
      <c r="O12" s="198" t="b">
        <f>D12='[2] Quadro Geral '!$E$12</f>
        <v>1</v>
      </c>
      <c r="P12" s="198" t="b">
        <f>E12='[2] Quadro Geral '!$F$12</f>
        <v>1</v>
      </c>
      <c r="Q12" s="198" t="b">
        <f>G12='[2] Quadro Geral '!$H$12</f>
        <v>1</v>
      </c>
      <c r="R12" s="198" t="b">
        <f>H12='[2] Quadro Geral '!$L$12</f>
        <v>1</v>
      </c>
      <c r="S12" s="137"/>
      <c r="T12" s="144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</row>
    <row r="13" spans="1:30" s="138" customFormat="1" ht="47.25" x14ac:dyDescent="0.25">
      <c r="A13" s="191" t="s">
        <v>388</v>
      </c>
      <c r="B13" s="192" t="s">
        <v>285</v>
      </c>
      <c r="C13" s="11" t="s">
        <v>406</v>
      </c>
      <c r="D13" s="11" t="s">
        <v>438</v>
      </c>
      <c r="E13" s="11" t="s">
        <v>29</v>
      </c>
      <c r="F13" s="11"/>
      <c r="G13" s="11" t="s">
        <v>470</v>
      </c>
      <c r="H13" s="12">
        <v>213727.62</v>
      </c>
      <c r="I13" s="12">
        <v>266370.38</v>
      </c>
      <c r="J13" s="65">
        <f t="shared" si="0"/>
        <v>52642.760000000009</v>
      </c>
      <c r="K13" s="66">
        <f t="shared" si="1"/>
        <v>24.630770697769435</v>
      </c>
      <c r="L13" s="198" t="b">
        <f>A13='Quadro Geral'!$A$13</f>
        <v>1</v>
      </c>
      <c r="M13" s="198" t="b">
        <f>'Quadro Geral'!$B$9=B13</f>
        <v>1</v>
      </c>
      <c r="N13" s="198" t="b">
        <f>C13='Quadro Geral'!$C$13</f>
        <v>1</v>
      </c>
      <c r="O13" s="198" t="b">
        <f>D13='[2] Quadro Geral '!$E$13</f>
        <v>1</v>
      </c>
      <c r="P13" s="198" t="b">
        <f>E13='[2] Quadro Geral '!$F$13</f>
        <v>1</v>
      </c>
      <c r="Q13" s="198" t="b">
        <f>G13='[2] Quadro Geral '!$H$13</f>
        <v>1</v>
      </c>
      <c r="R13" s="198" t="b">
        <f>H13='[2] Quadro Geral '!$L$13</f>
        <v>1</v>
      </c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</row>
    <row r="14" spans="1:30" s="138" customFormat="1" ht="47.25" x14ac:dyDescent="0.25">
      <c r="A14" s="191" t="s">
        <v>389</v>
      </c>
      <c r="B14" s="192" t="s">
        <v>285</v>
      </c>
      <c r="C14" s="11" t="s">
        <v>407</v>
      </c>
      <c r="D14" s="11" t="s">
        <v>439</v>
      </c>
      <c r="E14" s="11" t="s">
        <v>26</v>
      </c>
      <c r="F14" s="11"/>
      <c r="G14" s="11" t="s">
        <v>471</v>
      </c>
      <c r="H14" s="12">
        <v>174608.06</v>
      </c>
      <c r="I14" s="12">
        <v>169992.39</v>
      </c>
      <c r="J14" s="65">
        <f t="shared" si="0"/>
        <v>-4615.6699999999837</v>
      </c>
      <c r="K14" s="66">
        <f t="shared" si="1"/>
        <v>-2.64344612728644</v>
      </c>
      <c r="L14" s="198" t="b">
        <f>A14='Quadro Geral'!$A$14</f>
        <v>1</v>
      </c>
      <c r="M14" s="198" t="b">
        <f>'Quadro Geral'!$B$9=B14</f>
        <v>1</v>
      </c>
      <c r="N14" s="198" t="b">
        <f>C14='Quadro Geral'!$C$14</f>
        <v>1</v>
      </c>
      <c r="O14" s="198" t="b">
        <f>D14='[2] Quadro Geral '!$E$14</f>
        <v>1</v>
      </c>
      <c r="P14" s="198" t="b">
        <f>E14='[2] Quadro Geral '!$F$14</f>
        <v>1</v>
      </c>
      <c r="Q14" s="198" t="b">
        <f>G14='[2] Quadro Geral '!$H$14</f>
        <v>1</v>
      </c>
      <c r="R14" s="198" t="b">
        <f>H14='[2] Quadro Geral '!$L$14</f>
        <v>1</v>
      </c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</row>
    <row r="15" spans="1:30" s="138" customFormat="1" ht="47.25" x14ac:dyDescent="0.25">
      <c r="A15" s="191" t="s">
        <v>390</v>
      </c>
      <c r="B15" s="192" t="s">
        <v>285</v>
      </c>
      <c r="C15" s="11" t="s">
        <v>408</v>
      </c>
      <c r="D15" s="11" t="s">
        <v>440</v>
      </c>
      <c r="E15" s="11" t="s">
        <v>29</v>
      </c>
      <c r="F15" s="11"/>
      <c r="G15" s="11" t="s">
        <v>472</v>
      </c>
      <c r="H15" s="12">
        <v>53000</v>
      </c>
      <c r="I15" s="12">
        <v>35000</v>
      </c>
      <c r="J15" s="65">
        <f t="shared" si="0"/>
        <v>-18000</v>
      </c>
      <c r="K15" s="66">
        <f t="shared" si="1"/>
        <v>-33.962264150943398</v>
      </c>
      <c r="L15" s="198" t="b">
        <f>A15='Quadro Geral'!$A$15</f>
        <v>1</v>
      </c>
      <c r="M15" s="198" t="b">
        <f>'Quadro Geral'!$B$9=B15</f>
        <v>1</v>
      </c>
      <c r="N15" s="198" t="b">
        <f>C15='Quadro Geral'!$C$15</f>
        <v>1</v>
      </c>
      <c r="O15" s="198" t="b">
        <f>D15='[2] Quadro Geral '!$E$15</f>
        <v>1</v>
      </c>
      <c r="P15" s="198" t="b">
        <f>E15='[2] Quadro Geral '!$F$15</f>
        <v>1</v>
      </c>
      <c r="Q15" s="198" t="b">
        <f>G15='[2] Quadro Geral '!$H$15</f>
        <v>1</v>
      </c>
      <c r="R15" s="198" t="b">
        <f>H15='[2] Quadro Geral '!$L$15</f>
        <v>1</v>
      </c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</row>
    <row r="16" spans="1:30" s="138" customFormat="1" ht="78.75" x14ac:dyDescent="0.25">
      <c r="A16" s="191" t="s">
        <v>391</v>
      </c>
      <c r="B16" s="192" t="s">
        <v>285</v>
      </c>
      <c r="C16" s="11" t="s">
        <v>409</v>
      </c>
      <c r="D16" s="11" t="s">
        <v>441</v>
      </c>
      <c r="E16" s="11" t="s">
        <v>20</v>
      </c>
      <c r="F16" s="11"/>
      <c r="G16" s="11" t="s">
        <v>473</v>
      </c>
      <c r="H16" s="12">
        <v>60000</v>
      </c>
      <c r="I16" s="12">
        <v>50000</v>
      </c>
      <c r="J16" s="65">
        <f t="shared" si="0"/>
        <v>-10000</v>
      </c>
      <c r="K16" s="66">
        <f t="shared" si="1"/>
        <v>-16.666666666666664</v>
      </c>
      <c r="L16" s="198" t="b">
        <f>A16='Quadro Geral'!$A$16</f>
        <v>1</v>
      </c>
      <c r="M16" s="198" t="b">
        <f>'Quadro Geral'!$B$9=B16</f>
        <v>1</v>
      </c>
      <c r="N16" s="198" t="b">
        <f>C16='Quadro Geral'!$C$16</f>
        <v>1</v>
      </c>
      <c r="O16" s="198" t="b">
        <f>D16='[2] Quadro Geral '!$E$16</f>
        <v>1</v>
      </c>
      <c r="P16" s="198" t="b">
        <f>E16='[2] Quadro Geral '!$F$16</f>
        <v>1</v>
      </c>
      <c r="Q16" s="198" t="b">
        <f>G16='[2] Quadro Geral '!$H$16</f>
        <v>1</v>
      </c>
      <c r="R16" s="198" t="b">
        <f>H16='[2] Quadro Geral '!$L$16</f>
        <v>1</v>
      </c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</row>
    <row r="17" spans="1:30" s="138" customFormat="1" ht="47.25" x14ac:dyDescent="0.25">
      <c r="A17" s="191" t="s">
        <v>392</v>
      </c>
      <c r="B17" s="192" t="s">
        <v>285</v>
      </c>
      <c r="C17" s="11" t="s">
        <v>410</v>
      </c>
      <c r="D17" s="11" t="s">
        <v>442</v>
      </c>
      <c r="E17" s="11" t="s">
        <v>28</v>
      </c>
      <c r="F17" s="11"/>
      <c r="G17" s="11" t="s">
        <v>474</v>
      </c>
      <c r="H17" s="12">
        <v>52000</v>
      </c>
      <c r="I17" s="12">
        <v>35000</v>
      </c>
      <c r="J17" s="65">
        <f t="shared" si="0"/>
        <v>-17000</v>
      </c>
      <c r="K17" s="66">
        <f t="shared" si="1"/>
        <v>-32.692307692307693</v>
      </c>
      <c r="L17" s="198" t="b">
        <f>A17='Quadro Geral'!$A$17</f>
        <v>1</v>
      </c>
      <c r="M17" s="198" t="b">
        <f>'Quadro Geral'!$B$9=B17</f>
        <v>1</v>
      </c>
      <c r="N17" s="198" t="b">
        <f>C17='Quadro Geral'!$C$17</f>
        <v>1</v>
      </c>
      <c r="O17" s="198" t="b">
        <f>D17='[2] Quadro Geral '!$E$17</f>
        <v>1</v>
      </c>
      <c r="P17" s="198" t="b">
        <f>E17='[2] Quadro Geral '!$F$17</f>
        <v>1</v>
      </c>
      <c r="Q17" s="198" t="b">
        <f>G17='[2] Quadro Geral '!$H$17</f>
        <v>1</v>
      </c>
      <c r="R17" s="198" t="b">
        <f>H17='[2] Quadro Geral '!$L$17</f>
        <v>1</v>
      </c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</row>
    <row r="18" spans="1:30" s="138" customFormat="1" ht="47.25" x14ac:dyDescent="0.25">
      <c r="A18" s="191" t="s">
        <v>393</v>
      </c>
      <c r="B18" s="192" t="s">
        <v>285</v>
      </c>
      <c r="C18" s="11" t="s">
        <v>411</v>
      </c>
      <c r="D18" s="11" t="s">
        <v>443</v>
      </c>
      <c r="E18" s="11" t="s">
        <v>124</v>
      </c>
      <c r="F18" s="11"/>
      <c r="G18" s="11" t="s">
        <v>475</v>
      </c>
      <c r="H18" s="12">
        <v>55000</v>
      </c>
      <c r="I18" s="12">
        <v>40000</v>
      </c>
      <c r="J18" s="65">
        <f t="shared" si="0"/>
        <v>-15000</v>
      </c>
      <c r="K18" s="66">
        <f t="shared" si="1"/>
        <v>-27.27272727272727</v>
      </c>
      <c r="L18" s="198" t="b">
        <f>A18='Quadro Geral'!$A$18</f>
        <v>1</v>
      </c>
      <c r="M18" s="198" t="b">
        <f>'Quadro Geral'!$B$9=B18</f>
        <v>1</v>
      </c>
      <c r="N18" s="198" t="b">
        <f>C18='Quadro Geral'!$C$18</f>
        <v>1</v>
      </c>
      <c r="O18" s="198" t="b">
        <f>D18='[2] Quadro Geral '!$E$18</f>
        <v>1</v>
      </c>
      <c r="P18" s="198" t="b">
        <f>E18='[2] Quadro Geral '!$F$18</f>
        <v>1</v>
      </c>
      <c r="Q18" s="198" t="b">
        <f>G18='[2] Quadro Geral '!$H$18</f>
        <v>1</v>
      </c>
      <c r="R18" s="198" t="b">
        <f>H18='[2] Quadro Geral '!$L$18</f>
        <v>1</v>
      </c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</row>
    <row r="19" spans="1:30" s="138" customFormat="1" ht="47.25" x14ac:dyDescent="0.25">
      <c r="A19" s="191" t="s">
        <v>394</v>
      </c>
      <c r="B19" s="192" t="s">
        <v>285</v>
      </c>
      <c r="C19" s="11" t="s">
        <v>412</v>
      </c>
      <c r="D19" s="11" t="s">
        <v>444</v>
      </c>
      <c r="E19" s="11" t="s">
        <v>29</v>
      </c>
      <c r="F19" s="11"/>
      <c r="G19" s="11" t="s">
        <v>476</v>
      </c>
      <c r="H19" s="12">
        <v>45000</v>
      </c>
      <c r="I19" s="12">
        <v>25000</v>
      </c>
      <c r="J19" s="65">
        <f t="shared" si="0"/>
        <v>-20000</v>
      </c>
      <c r="K19" s="66">
        <f t="shared" si="1"/>
        <v>-44.444444444444443</v>
      </c>
      <c r="L19" s="198" t="b">
        <f>A19='Quadro Geral'!$A$19</f>
        <v>1</v>
      </c>
      <c r="M19" s="198" t="b">
        <f>'Quadro Geral'!$B$9=B19</f>
        <v>1</v>
      </c>
      <c r="N19" s="198" t="b">
        <f>C19='Quadro Geral'!$C$19</f>
        <v>1</v>
      </c>
      <c r="O19" s="198" t="b">
        <f>D19='[2] Quadro Geral '!$E$19</f>
        <v>1</v>
      </c>
      <c r="P19" s="198" t="b">
        <f>E19='[2] Quadro Geral '!$F$19</f>
        <v>1</v>
      </c>
      <c r="Q19" s="198" t="b">
        <f>G19='[2] Quadro Geral '!$H$19</f>
        <v>1</v>
      </c>
      <c r="R19" s="198" t="b">
        <f>H19='[2] Quadro Geral '!$L$19</f>
        <v>1</v>
      </c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</row>
    <row r="20" spans="1:30" s="138" customFormat="1" ht="47.25" x14ac:dyDescent="0.25">
      <c r="A20" s="191" t="s">
        <v>395</v>
      </c>
      <c r="B20" s="192" t="s">
        <v>285</v>
      </c>
      <c r="C20" s="11" t="s">
        <v>413</v>
      </c>
      <c r="D20" s="11" t="s">
        <v>445</v>
      </c>
      <c r="E20" s="11" t="s">
        <v>145</v>
      </c>
      <c r="F20" s="11"/>
      <c r="G20" s="11" t="s">
        <v>477</v>
      </c>
      <c r="H20" s="12">
        <v>45000</v>
      </c>
      <c r="I20" s="12">
        <v>25000</v>
      </c>
      <c r="J20" s="65">
        <f t="shared" si="0"/>
        <v>-20000</v>
      </c>
      <c r="K20" s="66">
        <f t="shared" si="1"/>
        <v>-44.444444444444443</v>
      </c>
      <c r="L20" s="198" t="b">
        <f>A20='Quadro Geral'!$A$20</f>
        <v>1</v>
      </c>
      <c r="M20" s="198" t="b">
        <f>'Quadro Geral'!$B$9=B20</f>
        <v>1</v>
      </c>
      <c r="N20" s="198" t="b">
        <f>C20='Quadro Geral'!$C$20</f>
        <v>1</v>
      </c>
      <c r="O20" s="198" t="b">
        <f>D20='[2] Quadro Geral '!$E$20</f>
        <v>1</v>
      </c>
      <c r="P20" s="198" t="b">
        <f>E20='[2] Quadro Geral '!$F$20</f>
        <v>1</v>
      </c>
      <c r="Q20" s="198" t="b">
        <f>G20='[2] Quadro Geral '!$H$20</f>
        <v>1</v>
      </c>
      <c r="R20" s="198" t="b">
        <f>H20='[2] Quadro Geral '!$L$20</f>
        <v>1</v>
      </c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</row>
    <row r="21" spans="1:30" s="138" customFormat="1" ht="47.25" x14ac:dyDescent="0.25">
      <c r="A21" s="191" t="s">
        <v>396</v>
      </c>
      <c r="B21" s="192" t="s">
        <v>285</v>
      </c>
      <c r="C21" s="11" t="s">
        <v>414</v>
      </c>
      <c r="D21" s="11" t="s">
        <v>446</v>
      </c>
      <c r="E21" s="11" t="s">
        <v>118</v>
      </c>
      <c r="F21" s="11"/>
      <c r="G21" s="11" t="s">
        <v>478</v>
      </c>
      <c r="H21" s="12">
        <v>80772.06</v>
      </c>
      <c r="I21" s="12">
        <v>123528.32000000001</v>
      </c>
      <c r="J21" s="65">
        <f t="shared" si="0"/>
        <v>42756.260000000009</v>
      </c>
      <c r="K21" s="66">
        <f t="shared" si="1"/>
        <v>52.934467685979548</v>
      </c>
      <c r="L21" s="198" t="b">
        <f>A21='Quadro Geral'!$A$21</f>
        <v>1</v>
      </c>
      <c r="M21" s="198" t="b">
        <f>'Quadro Geral'!$B$9=B21</f>
        <v>1</v>
      </c>
      <c r="N21" s="198" t="b">
        <f>C21='Quadro Geral'!$C$21</f>
        <v>1</v>
      </c>
      <c r="O21" s="198" t="b">
        <f>D21='[2] Quadro Geral '!$E$21</f>
        <v>1</v>
      </c>
      <c r="P21" s="198" t="b">
        <f>E21='[2] Quadro Geral '!$F$21</f>
        <v>1</v>
      </c>
      <c r="Q21" s="198" t="b">
        <f>G21='[2] Quadro Geral '!$H$21</f>
        <v>1</v>
      </c>
      <c r="R21" s="198" t="b">
        <f>H21='[2] Quadro Geral '!$L$21</f>
        <v>1</v>
      </c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</row>
    <row r="22" spans="1:30" s="138" customFormat="1" ht="63" x14ac:dyDescent="0.25">
      <c r="A22" s="191" t="s">
        <v>396</v>
      </c>
      <c r="B22" s="192" t="s">
        <v>284</v>
      </c>
      <c r="C22" s="11" t="s">
        <v>415</v>
      </c>
      <c r="D22" s="11" t="s">
        <v>447</v>
      </c>
      <c r="E22" s="11" t="s">
        <v>25</v>
      </c>
      <c r="F22" s="11"/>
      <c r="G22" s="11" t="s">
        <v>479</v>
      </c>
      <c r="H22" s="12">
        <v>80000</v>
      </c>
      <c r="I22" s="12">
        <v>80000</v>
      </c>
      <c r="J22" s="65">
        <f t="shared" si="0"/>
        <v>0</v>
      </c>
      <c r="K22" s="66">
        <f t="shared" si="1"/>
        <v>0</v>
      </c>
      <c r="L22" s="198" t="b">
        <f>A22='Quadro Geral'!$A$22</f>
        <v>1</v>
      </c>
      <c r="M22" s="198" t="b">
        <f>B22='Quadro Geral'!$B$22</f>
        <v>1</v>
      </c>
      <c r="N22" s="198" t="b">
        <f>C22='Quadro Geral'!$C$22</f>
        <v>1</v>
      </c>
      <c r="O22" s="198" t="b">
        <f>D22='[2] Quadro Geral '!$E$22</f>
        <v>1</v>
      </c>
      <c r="P22" s="198" t="b">
        <f>E22='[2] Quadro Geral '!$F$22</f>
        <v>1</v>
      </c>
      <c r="Q22" s="198" t="b">
        <f>G22='[2] Quadro Geral '!$H$22</f>
        <v>1</v>
      </c>
      <c r="R22" s="198" t="b">
        <f>H22='[2] Quadro Geral '!$L$22</f>
        <v>1</v>
      </c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</row>
    <row r="23" spans="1:30" s="138" customFormat="1" ht="31.5" x14ac:dyDescent="0.25">
      <c r="A23" s="191" t="s">
        <v>384</v>
      </c>
      <c r="B23" s="192" t="s">
        <v>285</v>
      </c>
      <c r="C23" s="11" t="s">
        <v>416</v>
      </c>
      <c r="D23" s="11" t="s">
        <v>448</v>
      </c>
      <c r="E23" s="11" t="s">
        <v>112</v>
      </c>
      <c r="F23" s="11"/>
      <c r="G23" s="11" t="s">
        <v>480</v>
      </c>
      <c r="H23" s="12">
        <v>104574.33</v>
      </c>
      <c r="I23" s="12">
        <v>90000</v>
      </c>
      <c r="J23" s="65">
        <f t="shared" si="0"/>
        <v>-14574.330000000002</v>
      </c>
      <c r="K23" s="66">
        <f t="shared" si="1"/>
        <v>-13.93681413019811</v>
      </c>
      <c r="L23" s="198" t="b">
        <f>A23='Quadro Geral'!$A$23</f>
        <v>1</v>
      </c>
      <c r="M23" s="198" t="b">
        <f>'Quadro Geral'!$B$9=B23</f>
        <v>1</v>
      </c>
      <c r="N23" s="198" t="b">
        <f>C23='Quadro Geral'!$C$23</f>
        <v>1</v>
      </c>
      <c r="O23" s="198" t="b">
        <f>D23='[2] Quadro Geral '!$E$23</f>
        <v>1</v>
      </c>
      <c r="P23" s="198" t="b">
        <f>E23='[2] Quadro Geral '!$F$23</f>
        <v>1</v>
      </c>
      <c r="Q23" s="198" t="b">
        <f>G23='[2] Quadro Geral '!$H$23</f>
        <v>1</v>
      </c>
      <c r="R23" s="198" t="b">
        <f>H23='[2] Quadro Geral '!$L$23</f>
        <v>1</v>
      </c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</row>
    <row r="24" spans="1:30" s="138" customFormat="1" ht="47.25" x14ac:dyDescent="0.25">
      <c r="A24" s="191" t="s">
        <v>396</v>
      </c>
      <c r="B24" s="192" t="s">
        <v>284</v>
      </c>
      <c r="C24" s="11" t="s">
        <v>417</v>
      </c>
      <c r="D24" s="11" t="s">
        <v>449</v>
      </c>
      <c r="E24" s="11" t="s">
        <v>22</v>
      </c>
      <c r="F24" s="11"/>
      <c r="G24" s="11" t="s">
        <v>481</v>
      </c>
      <c r="H24" s="12">
        <v>50807.55</v>
      </c>
      <c r="I24" s="12">
        <v>100000</v>
      </c>
      <c r="J24" s="65">
        <f t="shared" si="0"/>
        <v>49192.45</v>
      </c>
      <c r="K24" s="66">
        <f t="shared" si="1"/>
        <v>96.821141739761103</v>
      </c>
      <c r="L24" s="198" t="b">
        <f>A24='Quadro Geral'!$A$24</f>
        <v>1</v>
      </c>
      <c r="M24" s="198" t="b">
        <f>B24='Quadro Geral'!$B$24</f>
        <v>1</v>
      </c>
      <c r="N24" s="198" t="b">
        <f>C24='Quadro Geral'!$C$24</f>
        <v>1</v>
      </c>
      <c r="O24" s="198" t="b">
        <f>D24='[2] Quadro Geral '!$E$24</f>
        <v>1</v>
      </c>
      <c r="P24" s="198" t="b">
        <f>E24='[2] Quadro Geral '!$F$24</f>
        <v>1</v>
      </c>
      <c r="Q24" s="198" t="b">
        <f>G24='[2] Quadro Geral '!$H$24</f>
        <v>1</v>
      </c>
      <c r="R24" s="198" t="b">
        <f>H24='[2] Quadro Geral '!$L$24</f>
        <v>1</v>
      </c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</row>
    <row r="25" spans="1:30" s="138" customFormat="1" ht="31.5" x14ac:dyDescent="0.25">
      <c r="A25" s="191" t="s">
        <v>387</v>
      </c>
      <c r="B25" s="192" t="s">
        <v>285</v>
      </c>
      <c r="C25" s="11" t="s">
        <v>418</v>
      </c>
      <c r="D25" s="11" t="s">
        <v>450</v>
      </c>
      <c r="E25" s="11" t="s">
        <v>28</v>
      </c>
      <c r="F25" s="11"/>
      <c r="G25" s="11" t="s">
        <v>482</v>
      </c>
      <c r="H25" s="12">
        <v>57457.43</v>
      </c>
      <c r="I25" s="12">
        <v>63933.47699640358</v>
      </c>
      <c r="J25" s="65">
        <f t="shared" si="0"/>
        <v>6476.0469964035801</v>
      </c>
      <c r="K25" s="66">
        <f t="shared" si="1"/>
        <v>11.271034914724833</v>
      </c>
      <c r="L25" s="198" t="b">
        <f>A25='Quadro Geral'!$A$25</f>
        <v>1</v>
      </c>
      <c r="M25" s="198" t="b">
        <f>'Quadro Geral'!$B$9=B25</f>
        <v>1</v>
      </c>
      <c r="N25" s="198" t="b">
        <f>C25='Quadro Geral'!$C$25</f>
        <v>1</v>
      </c>
      <c r="O25" s="198" t="b">
        <f>D25='[2] Quadro Geral '!$E$25</f>
        <v>1</v>
      </c>
      <c r="P25" s="198" t="b">
        <f>E25='[2] Quadro Geral '!$F$25</f>
        <v>1</v>
      </c>
      <c r="Q25" s="198" t="b">
        <f>G25='[2] Quadro Geral '!$H$25</f>
        <v>1</v>
      </c>
      <c r="R25" s="198" t="b">
        <f>H25='[2] Quadro Geral '!$L$25</f>
        <v>1</v>
      </c>
      <c r="S25" s="232" t="e">
        <f>#REF!</f>
        <v>#REF!</v>
      </c>
      <c r="T25" s="198" t="e">
        <f>S25=I25</f>
        <v>#REF!</v>
      </c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</row>
    <row r="26" spans="1:30" s="138" customFormat="1" ht="47.25" x14ac:dyDescent="0.25">
      <c r="A26" s="191" t="s">
        <v>498</v>
      </c>
      <c r="B26" s="192" t="s">
        <v>285</v>
      </c>
      <c r="C26" s="11" t="s">
        <v>419</v>
      </c>
      <c r="D26" s="11" t="s">
        <v>451</v>
      </c>
      <c r="E26" s="11" t="s">
        <v>25</v>
      </c>
      <c r="F26" s="11"/>
      <c r="G26" s="11" t="s">
        <v>483</v>
      </c>
      <c r="H26" s="12">
        <v>319584.81</v>
      </c>
      <c r="I26" s="12">
        <f>510450.98</f>
        <v>510450.98</v>
      </c>
      <c r="J26" s="65">
        <f t="shared" si="0"/>
        <v>190866.16999999998</v>
      </c>
      <c r="K26" s="66">
        <f t="shared" si="1"/>
        <v>59.723167067921658</v>
      </c>
      <c r="L26" s="198" t="b">
        <f>A26='Quadro Geral'!$A$26</f>
        <v>1</v>
      </c>
      <c r="M26" s="198" t="b">
        <f>'Quadro Geral'!$B$9=B26</f>
        <v>1</v>
      </c>
      <c r="N26" s="198" t="b">
        <f>C26='Quadro Geral'!$C$26</f>
        <v>1</v>
      </c>
      <c r="O26" s="198" t="b">
        <f>D26='[2] Quadro Geral '!$E$26</f>
        <v>1</v>
      </c>
      <c r="P26" s="198" t="b">
        <f>E26='[2] Quadro Geral '!$F$26</f>
        <v>1</v>
      </c>
      <c r="Q26" s="198" t="b">
        <f>G26='[2] Quadro Geral '!$H$26</f>
        <v>1</v>
      </c>
      <c r="R26" s="198" t="b">
        <f>H26='[2] Quadro Geral '!$L$26</f>
        <v>1</v>
      </c>
      <c r="S26" s="137"/>
      <c r="T26" s="198"/>
      <c r="U26" s="137"/>
      <c r="V26" s="144"/>
      <c r="W26" s="137"/>
      <c r="X26" s="137"/>
      <c r="Y26" s="137"/>
      <c r="Z26" s="137"/>
      <c r="AA26" s="137"/>
      <c r="AB26" s="137"/>
      <c r="AC26" s="137"/>
      <c r="AD26" s="137"/>
    </row>
    <row r="27" spans="1:30" s="138" customFormat="1" ht="31.5" x14ac:dyDescent="0.25">
      <c r="A27" s="191" t="s">
        <v>384</v>
      </c>
      <c r="B27" s="192" t="s">
        <v>285</v>
      </c>
      <c r="C27" s="11" t="s">
        <v>420</v>
      </c>
      <c r="D27" s="11" t="s">
        <v>452</v>
      </c>
      <c r="E27" s="11" t="s">
        <v>30</v>
      </c>
      <c r="F27" s="11"/>
      <c r="G27" s="11" t="s">
        <v>484</v>
      </c>
      <c r="H27" s="12">
        <v>40000</v>
      </c>
      <c r="I27" s="12">
        <v>50000</v>
      </c>
      <c r="J27" s="65">
        <f t="shared" si="0"/>
        <v>10000</v>
      </c>
      <c r="K27" s="66">
        <f t="shared" si="1"/>
        <v>25</v>
      </c>
      <c r="L27" s="198" t="b">
        <f>A27='Quadro Geral'!$A$27</f>
        <v>1</v>
      </c>
      <c r="M27" s="198" t="b">
        <f>'Quadro Geral'!$B$9=B27</f>
        <v>1</v>
      </c>
      <c r="N27" s="198" t="b">
        <f>C27='Quadro Geral'!$C$27</f>
        <v>1</v>
      </c>
      <c r="O27" s="198" t="b">
        <f>D27='[2] Quadro Geral '!$E$27</f>
        <v>1</v>
      </c>
      <c r="P27" s="198" t="b">
        <f>E27='[2] Quadro Geral '!$F$27</f>
        <v>1</v>
      </c>
      <c r="Q27" s="198" t="b">
        <f>G27='[2] Quadro Geral '!$H$27</f>
        <v>1</v>
      </c>
      <c r="R27" s="198" t="b">
        <f>H27='[2] Quadro Geral '!$L$27</f>
        <v>1</v>
      </c>
      <c r="S27" s="137"/>
      <c r="T27" s="198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</row>
    <row r="28" spans="1:30" s="138" customFormat="1" ht="63" x14ac:dyDescent="0.25">
      <c r="A28" s="191" t="s">
        <v>396</v>
      </c>
      <c r="B28" s="192" t="s">
        <v>284</v>
      </c>
      <c r="C28" s="11" t="s">
        <v>421</v>
      </c>
      <c r="D28" s="11" t="s">
        <v>453</v>
      </c>
      <c r="E28" s="11" t="s">
        <v>27</v>
      </c>
      <c r="F28" s="11"/>
      <c r="G28" s="11" t="s">
        <v>485</v>
      </c>
      <c r="H28" s="12">
        <v>250357.65</v>
      </c>
      <c r="I28" s="12">
        <v>268400</v>
      </c>
      <c r="J28" s="65">
        <f t="shared" si="0"/>
        <v>18042.350000000006</v>
      </c>
      <c r="K28" s="66">
        <f t="shared" si="1"/>
        <v>7.2066301948432594</v>
      </c>
      <c r="L28" s="198" t="b">
        <f>A28='Quadro Geral'!$A$28</f>
        <v>1</v>
      </c>
      <c r="M28" s="198" t="b">
        <f>B28='Quadro Geral'!$B$28</f>
        <v>1</v>
      </c>
      <c r="N28" s="198" t="b">
        <f>C28='Quadro Geral'!$C$28</f>
        <v>1</v>
      </c>
      <c r="O28" s="198" t="b">
        <f>D28='[2] Quadro Geral '!$E$28</f>
        <v>1</v>
      </c>
      <c r="P28" s="198" t="b">
        <f>E28='[2] Quadro Geral '!$F$28</f>
        <v>1</v>
      </c>
      <c r="Q28" s="198" t="b">
        <f>G28='[2] Quadro Geral '!$H$28</f>
        <v>1</v>
      </c>
      <c r="R28" s="198" t="b">
        <f>H28='[2] Quadro Geral '!$L$28</f>
        <v>1</v>
      </c>
      <c r="S28" s="137"/>
      <c r="T28" s="198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</row>
    <row r="29" spans="1:30" s="138" customFormat="1" ht="31.5" x14ac:dyDescent="0.25">
      <c r="A29" s="191" t="s">
        <v>397</v>
      </c>
      <c r="B29" s="192" t="s">
        <v>285</v>
      </c>
      <c r="C29" s="11" t="s">
        <v>422</v>
      </c>
      <c r="D29" s="11" t="s">
        <v>454</v>
      </c>
      <c r="E29" s="11" t="s">
        <v>112</v>
      </c>
      <c r="F29" s="11"/>
      <c r="G29" s="11" t="s">
        <v>486</v>
      </c>
      <c r="H29" s="12">
        <v>288922.01999999996</v>
      </c>
      <c r="I29" s="12">
        <v>366797.12</v>
      </c>
      <c r="J29" s="65">
        <f t="shared" si="0"/>
        <v>77875.100000000035</v>
      </c>
      <c r="K29" s="66">
        <f t="shared" si="1"/>
        <v>26.953674212855095</v>
      </c>
      <c r="L29" s="198" t="b">
        <f>'Quadro Geral'!$A$29=A29</f>
        <v>1</v>
      </c>
      <c r="M29" s="198" t="b">
        <f>'Quadro Geral'!$B$9=B29</f>
        <v>1</v>
      </c>
      <c r="N29" s="198" t="b">
        <f>C29='Quadro Geral'!$C$29</f>
        <v>1</v>
      </c>
      <c r="O29" s="198" t="b">
        <f>D29='[2] Quadro Geral '!$E$29</f>
        <v>1</v>
      </c>
      <c r="P29" s="198" t="b">
        <f>E29='[2] Quadro Geral '!$F$29</f>
        <v>1</v>
      </c>
      <c r="Q29" s="198" t="b">
        <f>G29='[2] Quadro Geral '!$H$29</f>
        <v>1</v>
      </c>
      <c r="R29" s="198" t="b">
        <f>H29='[2] Quadro Geral '!$L$29</f>
        <v>1</v>
      </c>
      <c r="S29" s="137"/>
      <c r="T29" s="198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</row>
    <row r="30" spans="1:30" s="138" customFormat="1" ht="47.25" x14ac:dyDescent="0.25">
      <c r="A30" s="191" t="s">
        <v>396</v>
      </c>
      <c r="B30" s="192" t="s">
        <v>284</v>
      </c>
      <c r="C30" s="11" t="s">
        <v>423</v>
      </c>
      <c r="D30" s="11" t="s">
        <v>455</v>
      </c>
      <c r="E30" s="11" t="s">
        <v>32</v>
      </c>
      <c r="F30" s="11"/>
      <c r="G30" s="11" t="s">
        <v>487</v>
      </c>
      <c r="H30" s="12">
        <v>800000</v>
      </c>
      <c r="I30" s="248">
        <v>800000</v>
      </c>
      <c r="J30" s="65">
        <f t="shared" si="0"/>
        <v>0</v>
      </c>
      <c r="K30" s="66">
        <f t="shared" si="1"/>
        <v>0</v>
      </c>
      <c r="L30" s="198" t="b">
        <f>A30='Quadro Geral'!$A$30</f>
        <v>1</v>
      </c>
      <c r="M30" s="198" t="b">
        <f>B30='Quadro Geral'!$B$30</f>
        <v>1</v>
      </c>
      <c r="N30" s="198" t="b">
        <f>C30='Quadro Geral'!$C$30</f>
        <v>1</v>
      </c>
      <c r="O30" s="198" t="b">
        <f>D30='[2] Quadro Geral '!$E$30</f>
        <v>1</v>
      </c>
      <c r="P30" s="198" t="b">
        <f>E30='[2] Quadro Geral '!$F$30</f>
        <v>1</v>
      </c>
      <c r="Q30" s="198" t="b">
        <f>G30='[2] Quadro Geral '!$H$30</f>
        <v>1</v>
      </c>
      <c r="R30" s="198" t="b">
        <f>H30='[2] Quadro Geral '!$L$30</f>
        <v>1</v>
      </c>
      <c r="S30" s="137"/>
      <c r="T30" s="198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</row>
    <row r="31" spans="1:30" s="138" customFormat="1" ht="47.25" x14ac:dyDescent="0.25">
      <c r="A31" s="191" t="s">
        <v>396</v>
      </c>
      <c r="B31" s="192" t="s">
        <v>284</v>
      </c>
      <c r="C31" s="11" t="s">
        <v>424</v>
      </c>
      <c r="D31" s="11" t="s">
        <v>456</v>
      </c>
      <c r="E31" s="11" t="s">
        <v>32</v>
      </c>
      <c r="F31" s="11"/>
      <c r="G31" s="11" t="s">
        <v>488</v>
      </c>
      <c r="H31" s="12">
        <v>640000</v>
      </c>
      <c r="I31" s="248">
        <v>640000</v>
      </c>
      <c r="J31" s="65">
        <f t="shared" si="0"/>
        <v>0</v>
      </c>
      <c r="K31" s="66">
        <f t="shared" si="1"/>
        <v>0</v>
      </c>
      <c r="L31" s="198" t="b">
        <f>A31='Quadro Geral'!$A$31</f>
        <v>1</v>
      </c>
      <c r="M31" s="198" t="b">
        <f>B31='Quadro Geral'!$B$31</f>
        <v>1</v>
      </c>
      <c r="N31" s="198" t="b">
        <f>C31='Quadro Geral'!$C$31</f>
        <v>1</v>
      </c>
      <c r="O31" s="198" t="b">
        <f>D31='[2] Quadro Geral '!$E$31</f>
        <v>1</v>
      </c>
      <c r="P31" s="198" t="b">
        <f>E31='[2] Quadro Geral '!$F$31</f>
        <v>1</v>
      </c>
      <c r="Q31" s="198" t="b">
        <f>G31='[2] Quadro Geral '!$H$31</f>
        <v>1</v>
      </c>
      <c r="R31" s="198" t="b">
        <f>H31='[2] Quadro Geral '!$L$31</f>
        <v>1</v>
      </c>
      <c r="S31" s="137"/>
      <c r="T31" s="198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</row>
    <row r="32" spans="1:30" s="138" customFormat="1" ht="47.25" x14ac:dyDescent="0.25">
      <c r="A32" s="191" t="s">
        <v>387</v>
      </c>
      <c r="B32" s="192" t="s">
        <v>285</v>
      </c>
      <c r="C32" s="11" t="s">
        <v>425</v>
      </c>
      <c r="D32" s="11" t="s">
        <v>457</v>
      </c>
      <c r="E32" s="11" t="s">
        <v>20</v>
      </c>
      <c r="F32" s="11"/>
      <c r="G32" s="11" t="s">
        <v>489</v>
      </c>
      <c r="H32" s="12">
        <v>292434.27</v>
      </c>
      <c r="I32" s="248">
        <v>358590.21</v>
      </c>
      <c r="J32" s="65">
        <f t="shared" si="0"/>
        <v>66155.94</v>
      </c>
      <c r="K32" s="66">
        <f t="shared" si="1"/>
        <v>22.622499066200412</v>
      </c>
      <c r="L32" s="198" t="b">
        <f>A32='Quadro Geral'!$A$32</f>
        <v>1</v>
      </c>
      <c r="M32" s="198" t="b">
        <f>'Quadro Geral'!$B$9=B32</f>
        <v>1</v>
      </c>
      <c r="N32" s="198" t="b">
        <f>C32='Quadro Geral'!$C$32</f>
        <v>1</v>
      </c>
      <c r="O32" s="198" t="b">
        <f>D32='[2] Quadro Geral '!$E$32</f>
        <v>1</v>
      </c>
      <c r="P32" s="198" t="b">
        <f>E32='[2] Quadro Geral '!$F$32</f>
        <v>1</v>
      </c>
      <c r="Q32" s="198" t="b">
        <f>G32='[2] Quadro Geral '!$H$32</f>
        <v>1</v>
      </c>
      <c r="R32" s="198" t="b">
        <f>H32='[2] Quadro Geral '!$L$32</f>
        <v>1</v>
      </c>
      <c r="S32" s="232" t="e">
        <f>#REF!</f>
        <v>#REF!</v>
      </c>
      <c r="T32" s="198" t="e">
        <f>S32=I32</f>
        <v>#REF!</v>
      </c>
      <c r="U32" s="233"/>
      <c r="V32" s="137"/>
      <c r="W32" s="137"/>
      <c r="X32" s="137"/>
      <c r="Y32" s="137"/>
      <c r="Z32" s="137"/>
      <c r="AA32" s="137"/>
      <c r="AB32" s="137"/>
      <c r="AC32" s="137"/>
      <c r="AD32" s="137"/>
    </row>
    <row r="33" spans="1:36" s="138" customFormat="1" ht="31.5" x14ac:dyDescent="0.25">
      <c r="A33" s="191" t="s">
        <v>387</v>
      </c>
      <c r="B33" s="192" t="s">
        <v>285</v>
      </c>
      <c r="C33" s="11" t="s">
        <v>426</v>
      </c>
      <c r="D33" s="11" t="s">
        <v>458</v>
      </c>
      <c r="E33" s="11" t="s">
        <v>112</v>
      </c>
      <c r="F33" s="11"/>
      <c r="G33" s="11" t="s">
        <v>490</v>
      </c>
      <c r="H33" s="12">
        <v>38453.21</v>
      </c>
      <c r="I33" s="248">
        <v>48403.97</v>
      </c>
      <c r="J33" s="65">
        <f t="shared" si="0"/>
        <v>9950.760000000002</v>
      </c>
      <c r="K33" s="66">
        <f t="shared" si="1"/>
        <v>25.877579531071664</v>
      </c>
      <c r="L33" s="198" t="b">
        <f>A33='Quadro Geral'!$A$33</f>
        <v>1</v>
      </c>
      <c r="M33" s="198" t="b">
        <f>'Quadro Geral'!$B$9=B33</f>
        <v>1</v>
      </c>
      <c r="N33" s="198" t="b">
        <f>C33='Quadro Geral'!$C$33</f>
        <v>1</v>
      </c>
      <c r="O33" s="198" t="b">
        <f>D33='[2] Quadro Geral '!$E$33</f>
        <v>1</v>
      </c>
      <c r="P33" s="198" t="b">
        <f>E33='[2] Quadro Geral '!$F$33</f>
        <v>1</v>
      </c>
      <c r="Q33" s="198" t="b">
        <f>G33='[2] Quadro Geral '!$H$33</f>
        <v>1</v>
      </c>
      <c r="R33" s="198" t="b">
        <f>H33='[2] Quadro Geral '!$L$33</f>
        <v>1</v>
      </c>
      <c r="S33" s="137" t="e">
        <f>#REF!</f>
        <v>#REF!</v>
      </c>
      <c r="T33" s="198" t="e">
        <f>S33=I33</f>
        <v>#REF!</v>
      </c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</row>
    <row r="34" spans="1:36" s="138" customFormat="1" ht="31.5" x14ac:dyDescent="0.25">
      <c r="A34" s="191" t="s">
        <v>398</v>
      </c>
      <c r="B34" s="192" t="s">
        <v>285</v>
      </c>
      <c r="C34" s="11" t="s">
        <v>427</v>
      </c>
      <c r="D34" s="11" t="s">
        <v>459</v>
      </c>
      <c r="E34" s="11" t="s">
        <v>20</v>
      </c>
      <c r="F34" s="11"/>
      <c r="G34" s="11" t="s">
        <v>491</v>
      </c>
      <c r="H34" s="12">
        <v>351504.52</v>
      </c>
      <c r="I34" s="248">
        <v>468486.44</v>
      </c>
      <c r="J34" s="65">
        <f t="shared" si="0"/>
        <v>116981.91999999998</v>
      </c>
      <c r="K34" s="66">
        <f t="shared" si="1"/>
        <v>33.280345868667624</v>
      </c>
      <c r="L34" s="198" t="b">
        <f>A34='Quadro Geral'!$A$34</f>
        <v>1</v>
      </c>
      <c r="M34" s="198" t="b">
        <f>'Quadro Geral'!$B$9=B34</f>
        <v>1</v>
      </c>
      <c r="N34" s="198" t="b">
        <f>C34='Quadro Geral'!$C$34</f>
        <v>1</v>
      </c>
      <c r="O34" s="198" t="b">
        <f>D34='[2] Quadro Geral '!$E$34</f>
        <v>1</v>
      </c>
      <c r="P34" s="198" t="b">
        <f>E34='[2] Quadro Geral '!$F$34</f>
        <v>1</v>
      </c>
      <c r="Q34" s="198" t="b">
        <f>G34='[2] Quadro Geral '!$H$34</f>
        <v>1</v>
      </c>
      <c r="R34" s="198" t="b">
        <f>H34='[2] Quadro Geral '!$L$34</f>
        <v>1</v>
      </c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</row>
    <row r="35" spans="1:36" s="138" customFormat="1" ht="31.5" x14ac:dyDescent="0.25">
      <c r="A35" s="191" t="s">
        <v>396</v>
      </c>
      <c r="B35" s="192" t="s">
        <v>285</v>
      </c>
      <c r="C35" s="11" t="s">
        <v>428</v>
      </c>
      <c r="D35" s="11" t="s">
        <v>460</v>
      </c>
      <c r="E35" s="11" t="s">
        <v>28</v>
      </c>
      <c r="F35" s="11"/>
      <c r="G35" s="11" t="s">
        <v>492</v>
      </c>
      <c r="H35" s="12">
        <v>41306.949999999997</v>
      </c>
      <c r="I35" s="248">
        <v>41000</v>
      </c>
      <c r="J35" s="65">
        <f t="shared" si="0"/>
        <v>-306.94999999999709</v>
      </c>
      <c r="K35" s="66">
        <f t="shared" si="1"/>
        <v>-0.74309529025986454</v>
      </c>
      <c r="L35" s="198" t="b">
        <f>A35='Quadro Geral'!$A$35</f>
        <v>1</v>
      </c>
      <c r="M35" s="198" t="b">
        <f>'Quadro Geral'!$B$9=B35</f>
        <v>1</v>
      </c>
      <c r="N35" s="198" t="b">
        <f>C35='Quadro Geral'!$C$35</f>
        <v>1</v>
      </c>
      <c r="O35" s="198" t="b">
        <f>D35='[2] Quadro Geral '!$E$35</f>
        <v>1</v>
      </c>
      <c r="P35" s="198" t="b">
        <f>E35='[2] Quadro Geral '!$F$35</f>
        <v>1</v>
      </c>
      <c r="Q35" s="198" t="b">
        <f>G35='[2] Quadro Geral '!$H$35</f>
        <v>1</v>
      </c>
      <c r="R35" s="198" t="b">
        <f>H35='[2] Quadro Geral '!$L$35</f>
        <v>1</v>
      </c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</row>
    <row r="36" spans="1:36" s="138" customFormat="1" ht="47.25" x14ac:dyDescent="0.25">
      <c r="A36" s="191" t="s">
        <v>383</v>
      </c>
      <c r="B36" s="192" t="s">
        <v>284</v>
      </c>
      <c r="C36" s="11" t="s">
        <v>429</v>
      </c>
      <c r="D36" s="11" t="s">
        <v>461</v>
      </c>
      <c r="E36" s="11" t="s">
        <v>32</v>
      </c>
      <c r="F36" s="11"/>
      <c r="G36" s="11" t="s">
        <v>487</v>
      </c>
      <c r="H36" s="12">
        <v>4000000</v>
      </c>
      <c r="I36" s="248">
        <v>4000000</v>
      </c>
      <c r="J36" s="65">
        <f t="shared" si="0"/>
        <v>0</v>
      </c>
      <c r="K36" s="66">
        <f t="shared" si="1"/>
        <v>0</v>
      </c>
      <c r="L36" s="198" t="b">
        <f>A36='Quadro Geral'!$A$36</f>
        <v>1</v>
      </c>
      <c r="M36" s="198" t="b">
        <f>B36='Quadro Geral'!$B$36</f>
        <v>1</v>
      </c>
      <c r="N36" s="198" t="b">
        <f>C36='Quadro Geral'!$C$36</f>
        <v>1</v>
      </c>
      <c r="O36" s="198" t="b">
        <f>D36='[2] Quadro Geral '!$E$36</f>
        <v>1</v>
      </c>
      <c r="P36" s="198" t="b">
        <f>E36='[2] Quadro Geral '!$F$36</f>
        <v>1</v>
      </c>
      <c r="Q36" s="198" t="b">
        <f>G36='[2] Quadro Geral '!$H$36</f>
        <v>1</v>
      </c>
      <c r="R36" s="198" t="b">
        <f>H36='[2] Quadro Geral '!$L$36</f>
        <v>1</v>
      </c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</row>
    <row r="37" spans="1:36" s="138" customFormat="1" ht="31.5" x14ac:dyDescent="0.25">
      <c r="A37" s="191" t="s">
        <v>396</v>
      </c>
      <c r="B37" s="192" t="s">
        <v>284</v>
      </c>
      <c r="C37" s="11" t="s">
        <v>430</v>
      </c>
      <c r="D37" s="11" t="s">
        <v>462</v>
      </c>
      <c r="E37" s="11" t="s">
        <v>29</v>
      </c>
      <c r="F37" s="11"/>
      <c r="G37" s="11" t="s">
        <v>493</v>
      </c>
      <c r="H37" s="12">
        <v>22901.599999999999</v>
      </c>
      <c r="I37" s="248">
        <v>5000</v>
      </c>
      <c r="J37" s="65">
        <f t="shared" si="0"/>
        <v>-17901.599999999999</v>
      </c>
      <c r="K37" s="66">
        <f t="shared" si="1"/>
        <v>-78.167464281971561</v>
      </c>
      <c r="L37" s="198" t="b">
        <f>A37='Quadro Geral'!$A$37</f>
        <v>1</v>
      </c>
      <c r="M37" s="198" t="b">
        <f>B37='Quadro Geral'!$B$37</f>
        <v>1</v>
      </c>
      <c r="N37" s="198" t="b">
        <f>C37='Quadro Geral'!$C$37</f>
        <v>1</v>
      </c>
      <c r="O37" s="198" t="b">
        <f>D37='[2] Quadro Geral '!$E$37</f>
        <v>1</v>
      </c>
      <c r="P37" s="198" t="b">
        <f>E37='[2] Quadro Geral '!$F$37</f>
        <v>1</v>
      </c>
      <c r="Q37" s="198" t="b">
        <f>G37='[2] Quadro Geral '!$H$37</f>
        <v>1</v>
      </c>
      <c r="R37" s="198" t="b">
        <f>H37='[2] Quadro Geral '!$L$37</f>
        <v>1</v>
      </c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</row>
    <row r="38" spans="1:36" s="138" customFormat="1" ht="31.5" x14ac:dyDescent="0.25">
      <c r="A38" s="11" t="s">
        <v>399</v>
      </c>
      <c r="B38" s="192" t="s">
        <v>285</v>
      </c>
      <c r="C38" s="11" t="s">
        <v>431</v>
      </c>
      <c r="D38" s="11" t="s">
        <v>463</v>
      </c>
      <c r="E38" s="11" t="s">
        <v>29</v>
      </c>
      <c r="F38" s="11"/>
      <c r="G38" s="11" t="s">
        <v>494</v>
      </c>
      <c r="H38" s="12">
        <v>87849.74</v>
      </c>
      <c r="I38" s="248">
        <v>448555.14</v>
      </c>
      <c r="J38" s="65">
        <f>I38-H38-W84</f>
        <v>360705.39999999903</v>
      </c>
      <c r="K38" s="66">
        <f t="shared" si="1"/>
        <v>410.59358855245216</v>
      </c>
      <c r="L38" s="198" t="b">
        <f>A38='Quadro Geral'!$A$38</f>
        <v>1</v>
      </c>
      <c r="M38" s="198" t="b">
        <f>'Quadro Geral'!$B$9=B38</f>
        <v>1</v>
      </c>
      <c r="N38" s="198" t="b">
        <f>C38='Quadro Geral'!$C$38</f>
        <v>1</v>
      </c>
      <c r="O38" s="198" t="b">
        <f>D38='[2] Quadro Geral '!$E$38</f>
        <v>1</v>
      </c>
      <c r="P38" s="198" t="b">
        <f>E38='[2] Quadro Geral '!$F$38</f>
        <v>1</v>
      </c>
      <c r="Q38" s="198" t="b">
        <f>G38='[2] Quadro Geral '!$H$38</f>
        <v>1</v>
      </c>
      <c r="R38" s="198" t="b">
        <f>H38='[2] Quadro Geral '!$L$38</f>
        <v>1</v>
      </c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</row>
    <row r="39" spans="1:36" s="138" customFormat="1" ht="63" x14ac:dyDescent="0.25">
      <c r="A39" s="11" t="s">
        <v>400</v>
      </c>
      <c r="B39" s="192" t="s">
        <v>284</v>
      </c>
      <c r="C39" s="11" t="s">
        <v>497</v>
      </c>
      <c r="D39" s="11" t="s">
        <v>505</v>
      </c>
      <c r="E39" s="11" t="s">
        <v>32</v>
      </c>
      <c r="F39" s="11"/>
      <c r="G39" s="11" t="s">
        <v>495</v>
      </c>
      <c r="H39" s="12">
        <v>100000</v>
      </c>
      <c r="I39" s="248">
        <v>50000</v>
      </c>
      <c r="J39" s="65">
        <f t="shared" si="0"/>
        <v>-50000</v>
      </c>
      <c r="K39" s="66">
        <f t="shared" si="1"/>
        <v>-50</v>
      </c>
      <c r="L39" s="198" t="b">
        <f>A39='Quadro Geral'!$A$39</f>
        <v>1</v>
      </c>
      <c r="M39" s="198" t="b">
        <f>'Quadro Geral'!$B$39=B39</f>
        <v>1</v>
      </c>
      <c r="N39" s="198" t="b">
        <f>C39='Quadro Geral'!$C$39</f>
        <v>1</v>
      </c>
      <c r="O39" s="198" t="b">
        <f>D39='[2] Quadro Geral '!$E$39</f>
        <v>0</v>
      </c>
      <c r="P39" s="198" t="b">
        <f>E39='[2] Quadro Geral '!$F$39</f>
        <v>0</v>
      </c>
      <c r="Q39" s="198" t="b">
        <f>G39='[2] Quadro Geral '!$H$39</f>
        <v>1</v>
      </c>
      <c r="R39" s="198" t="b">
        <f>H39='[2] Quadro Geral '!$L$39</f>
        <v>1</v>
      </c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</row>
    <row r="40" spans="1:36" s="138" customFormat="1" ht="126" x14ac:dyDescent="0.25">
      <c r="A40" s="11" t="s">
        <v>400</v>
      </c>
      <c r="B40" s="192" t="s">
        <v>284</v>
      </c>
      <c r="C40" s="11" t="s">
        <v>432</v>
      </c>
      <c r="D40" s="11" t="s">
        <v>464</v>
      </c>
      <c r="E40" s="11" t="s">
        <v>112</v>
      </c>
      <c r="F40" s="11"/>
      <c r="G40" s="11" t="s">
        <v>496</v>
      </c>
      <c r="H40" s="12">
        <v>155201.66</v>
      </c>
      <c r="I40" s="248">
        <v>30000</v>
      </c>
      <c r="J40" s="65">
        <f t="shared" ref="J40:J71" si="2">I40-H40</f>
        <v>-125201.66</v>
      </c>
      <c r="K40" s="66">
        <f t="shared" si="1"/>
        <v>-80.670309840758151</v>
      </c>
      <c r="L40" s="198" t="b">
        <f>A40='Quadro Geral'!$A$40</f>
        <v>1</v>
      </c>
      <c r="M40" s="198" t="b">
        <f>'Quadro Geral'!$B$40=B40</f>
        <v>1</v>
      </c>
      <c r="N40" s="198" t="b">
        <f>C40='Quadro Geral'!$C$40</f>
        <v>1</v>
      </c>
      <c r="O40" s="198" t="b">
        <f>D40='[2] Quadro Geral '!$E$40</f>
        <v>1</v>
      </c>
      <c r="P40" s="198" t="b">
        <f>E40='[2] Quadro Geral '!$F$40</f>
        <v>1</v>
      </c>
      <c r="Q40" s="198" t="b">
        <f>G40='[2] Quadro Geral '!$H$40</f>
        <v>1</v>
      </c>
      <c r="R40" s="198" t="b">
        <f>H40='[2] Quadro Geral '!$L$40</f>
        <v>1</v>
      </c>
      <c r="S40" s="137"/>
      <c r="T40" s="137"/>
      <c r="U40" s="137"/>
      <c r="V40" s="137"/>
      <c r="W40" s="137"/>
      <c r="X40" s="137"/>
      <c r="Y40" s="137"/>
      <c r="Z40" s="214"/>
      <c r="AA40" s="137"/>
      <c r="AB40" s="137"/>
      <c r="AC40" s="137"/>
      <c r="AD40" s="137"/>
      <c r="AJ40" s="253">
        <v>1E-14</v>
      </c>
    </row>
    <row r="41" spans="1:36" s="138" customFormat="1" ht="47.25" x14ac:dyDescent="0.25">
      <c r="A41" s="13" t="s">
        <v>383</v>
      </c>
      <c r="B41" s="247" t="s">
        <v>284</v>
      </c>
      <c r="C41" s="11" t="s">
        <v>500</v>
      </c>
      <c r="D41" s="11" t="s">
        <v>501</v>
      </c>
      <c r="E41" s="11" t="s">
        <v>32</v>
      </c>
      <c r="F41" s="11"/>
      <c r="G41" s="11" t="s">
        <v>502</v>
      </c>
      <c r="H41" s="12"/>
      <c r="I41" s="248">
        <v>150000</v>
      </c>
      <c r="J41" s="65">
        <f t="shared" si="2"/>
        <v>150000</v>
      </c>
      <c r="K41" s="66">
        <f t="shared" si="1"/>
        <v>0</v>
      </c>
      <c r="L41" s="198"/>
      <c r="M41" s="198"/>
      <c r="N41" s="198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</row>
    <row r="42" spans="1:36" s="138" customFormat="1" x14ac:dyDescent="0.25">
      <c r="A42" s="13" t="s">
        <v>383</v>
      </c>
      <c r="B42" s="14" t="s">
        <v>284</v>
      </c>
      <c r="C42" s="11" t="s">
        <v>503</v>
      </c>
      <c r="D42" s="11" t="s">
        <v>462</v>
      </c>
      <c r="E42" s="11" t="s">
        <v>29</v>
      </c>
      <c r="F42" s="11"/>
      <c r="G42" s="11" t="s">
        <v>504</v>
      </c>
      <c r="H42" s="12"/>
      <c r="I42" s="12">
        <v>15000</v>
      </c>
      <c r="J42" s="65">
        <f t="shared" si="2"/>
        <v>15000</v>
      </c>
      <c r="K42" s="66">
        <f t="shared" si="1"/>
        <v>0</v>
      </c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</row>
    <row r="43" spans="1:36" s="138" customFormat="1" hidden="1" x14ac:dyDescent="0.25">
      <c r="A43" s="13"/>
      <c r="B43" s="14"/>
      <c r="C43" s="11"/>
      <c r="D43" s="11"/>
      <c r="E43" s="11"/>
      <c r="F43" s="11"/>
      <c r="G43" s="11"/>
      <c r="H43" s="12"/>
      <c r="I43" s="12"/>
      <c r="J43" s="65">
        <f t="shared" si="2"/>
        <v>0</v>
      </c>
      <c r="K43" s="66">
        <f t="shared" ref="K43:K71" si="3">IFERROR(J43/H43*100,)</f>
        <v>0</v>
      </c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</row>
    <row r="44" spans="1:36" s="138" customFormat="1" hidden="1" x14ac:dyDescent="0.25">
      <c r="A44" s="13"/>
      <c r="B44" s="14"/>
      <c r="C44" s="11"/>
      <c r="D44" s="11"/>
      <c r="E44" s="11"/>
      <c r="F44" s="11"/>
      <c r="G44" s="11"/>
      <c r="H44" s="12"/>
      <c r="I44" s="12"/>
      <c r="J44" s="65">
        <f t="shared" si="2"/>
        <v>0</v>
      </c>
      <c r="K44" s="66">
        <f t="shared" si="3"/>
        <v>0</v>
      </c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</row>
    <row r="45" spans="1:36" s="138" customFormat="1" hidden="1" x14ac:dyDescent="0.25">
      <c r="A45" s="13"/>
      <c r="B45" s="14"/>
      <c r="C45" s="11"/>
      <c r="D45" s="11"/>
      <c r="E45" s="11"/>
      <c r="F45" s="11"/>
      <c r="G45" s="11"/>
      <c r="H45" s="12"/>
      <c r="I45" s="12"/>
      <c r="J45" s="65">
        <f t="shared" si="2"/>
        <v>0</v>
      </c>
      <c r="K45" s="66">
        <f t="shared" si="3"/>
        <v>0</v>
      </c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</row>
    <row r="46" spans="1:36" s="138" customFormat="1" hidden="1" x14ac:dyDescent="0.25">
      <c r="A46" s="13"/>
      <c r="B46" s="14"/>
      <c r="C46" s="11"/>
      <c r="D46" s="11"/>
      <c r="E46" s="11"/>
      <c r="F46" s="11"/>
      <c r="G46" s="11"/>
      <c r="H46" s="12"/>
      <c r="I46" s="12"/>
      <c r="J46" s="65">
        <f t="shared" si="2"/>
        <v>0</v>
      </c>
      <c r="K46" s="66">
        <f t="shared" si="3"/>
        <v>0</v>
      </c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</row>
    <row r="47" spans="1:36" s="138" customFormat="1" hidden="1" x14ac:dyDescent="0.25">
      <c r="A47" s="13"/>
      <c r="B47" s="14"/>
      <c r="C47" s="11"/>
      <c r="D47" s="11"/>
      <c r="E47" s="11"/>
      <c r="F47" s="11"/>
      <c r="G47" s="11"/>
      <c r="H47" s="12"/>
      <c r="I47" s="12"/>
      <c r="J47" s="65">
        <f t="shared" si="2"/>
        <v>0</v>
      </c>
      <c r="K47" s="66">
        <f t="shared" si="3"/>
        <v>0</v>
      </c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</row>
    <row r="48" spans="1:36" s="138" customFormat="1" hidden="1" x14ac:dyDescent="0.25">
      <c r="A48" s="13"/>
      <c r="B48" s="14"/>
      <c r="C48" s="11"/>
      <c r="D48" s="11"/>
      <c r="E48" s="11"/>
      <c r="F48" s="11"/>
      <c r="G48" s="11"/>
      <c r="H48" s="12"/>
      <c r="I48" s="12"/>
      <c r="J48" s="65">
        <f t="shared" si="2"/>
        <v>0</v>
      </c>
      <c r="K48" s="66">
        <f t="shared" si="3"/>
        <v>0</v>
      </c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</row>
    <row r="49" spans="1:30" s="138" customFormat="1" hidden="1" x14ac:dyDescent="0.25">
      <c r="A49" s="13"/>
      <c r="B49" s="14"/>
      <c r="C49" s="11"/>
      <c r="D49" s="11"/>
      <c r="E49" s="11"/>
      <c r="F49" s="11"/>
      <c r="G49" s="11"/>
      <c r="H49" s="12"/>
      <c r="I49" s="12"/>
      <c r="J49" s="65">
        <f t="shared" si="2"/>
        <v>0</v>
      </c>
      <c r="K49" s="66">
        <f t="shared" si="3"/>
        <v>0</v>
      </c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</row>
    <row r="50" spans="1:30" s="138" customFormat="1" hidden="1" x14ac:dyDescent="0.25">
      <c r="A50" s="13"/>
      <c r="B50" s="14"/>
      <c r="C50" s="11"/>
      <c r="D50" s="11"/>
      <c r="E50" s="11"/>
      <c r="F50" s="11"/>
      <c r="G50" s="11"/>
      <c r="H50" s="12"/>
      <c r="I50" s="12"/>
      <c r="J50" s="65">
        <f t="shared" si="2"/>
        <v>0</v>
      </c>
      <c r="K50" s="66">
        <f t="shared" si="3"/>
        <v>0</v>
      </c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</row>
    <row r="51" spans="1:30" s="138" customFormat="1" hidden="1" x14ac:dyDescent="0.25">
      <c r="A51" s="13"/>
      <c r="B51" s="14"/>
      <c r="C51" s="11"/>
      <c r="D51" s="11"/>
      <c r="E51" s="11"/>
      <c r="F51" s="11"/>
      <c r="G51" s="11"/>
      <c r="H51" s="12"/>
      <c r="I51" s="12"/>
      <c r="J51" s="65">
        <f t="shared" si="2"/>
        <v>0</v>
      </c>
      <c r="K51" s="66">
        <f t="shared" si="3"/>
        <v>0</v>
      </c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</row>
    <row r="52" spans="1:30" s="138" customFormat="1" hidden="1" x14ac:dyDescent="0.25">
      <c r="A52" s="13"/>
      <c r="B52" s="14"/>
      <c r="C52" s="11"/>
      <c r="D52" s="11"/>
      <c r="E52" s="11"/>
      <c r="F52" s="11"/>
      <c r="G52" s="11"/>
      <c r="H52" s="12"/>
      <c r="I52" s="12"/>
      <c r="J52" s="65">
        <f t="shared" si="2"/>
        <v>0</v>
      </c>
      <c r="K52" s="66">
        <f t="shared" si="3"/>
        <v>0</v>
      </c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</row>
    <row r="53" spans="1:30" s="138" customFormat="1" hidden="1" x14ac:dyDescent="0.25">
      <c r="A53" s="13"/>
      <c r="B53" s="14"/>
      <c r="C53" s="11"/>
      <c r="D53" s="11"/>
      <c r="E53" s="11"/>
      <c r="F53" s="11"/>
      <c r="G53" s="11"/>
      <c r="H53" s="12"/>
      <c r="I53" s="12"/>
      <c r="J53" s="65">
        <f t="shared" si="2"/>
        <v>0</v>
      </c>
      <c r="K53" s="66">
        <f t="shared" si="3"/>
        <v>0</v>
      </c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</row>
    <row r="54" spans="1:30" s="138" customFormat="1" hidden="1" x14ac:dyDescent="0.25">
      <c r="A54" s="13"/>
      <c r="B54" s="14"/>
      <c r="C54" s="11"/>
      <c r="D54" s="11"/>
      <c r="E54" s="11"/>
      <c r="F54" s="11"/>
      <c r="G54" s="11"/>
      <c r="H54" s="12"/>
      <c r="I54" s="12"/>
      <c r="J54" s="65">
        <f t="shared" si="2"/>
        <v>0</v>
      </c>
      <c r="K54" s="66">
        <f t="shared" si="3"/>
        <v>0</v>
      </c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</row>
    <row r="55" spans="1:30" s="138" customFormat="1" hidden="1" x14ac:dyDescent="0.25">
      <c r="A55" s="13"/>
      <c r="B55" s="14"/>
      <c r="C55" s="11"/>
      <c r="D55" s="11"/>
      <c r="E55" s="11"/>
      <c r="F55" s="11"/>
      <c r="G55" s="11"/>
      <c r="H55" s="12"/>
      <c r="I55" s="12"/>
      <c r="J55" s="65">
        <f t="shared" si="2"/>
        <v>0</v>
      </c>
      <c r="K55" s="66">
        <f t="shared" si="3"/>
        <v>0</v>
      </c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</row>
    <row r="56" spans="1:30" s="138" customFormat="1" hidden="1" x14ac:dyDescent="0.25">
      <c r="A56" s="13"/>
      <c r="B56" s="14"/>
      <c r="C56" s="11"/>
      <c r="D56" s="11"/>
      <c r="E56" s="11"/>
      <c r="F56" s="11"/>
      <c r="G56" s="11"/>
      <c r="H56" s="12"/>
      <c r="I56" s="12"/>
      <c r="J56" s="65">
        <f t="shared" si="2"/>
        <v>0</v>
      </c>
      <c r="K56" s="66">
        <f t="shared" si="3"/>
        <v>0</v>
      </c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</row>
    <row r="57" spans="1:30" s="138" customFormat="1" hidden="1" x14ac:dyDescent="0.25">
      <c r="A57" s="13"/>
      <c r="B57" s="14"/>
      <c r="C57" s="11"/>
      <c r="D57" s="11"/>
      <c r="E57" s="11"/>
      <c r="F57" s="11"/>
      <c r="G57" s="11"/>
      <c r="H57" s="12"/>
      <c r="I57" s="12"/>
      <c r="J57" s="65">
        <f t="shared" si="2"/>
        <v>0</v>
      </c>
      <c r="K57" s="66">
        <f t="shared" si="3"/>
        <v>0</v>
      </c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</row>
    <row r="58" spans="1:30" s="138" customFormat="1" hidden="1" x14ac:dyDescent="0.25">
      <c r="A58" s="13"/>
      <c r="B58" s="14"/>
      <c r="C58" s="11"/>
      <c r="D58" s="11"/>
      <c r="E58" s="11"/>
      <c r="F58" s="11"/>
      <c r="G58" s="11"/>
      <c r="H58" s="12"/>
      <c r="I58" s="12"/>
      <c r="J58" s="65">
        <f t="shared" si="2"/>
        <v>0</v>
      </c>
      <c r="K58" s="66">
        <f t="shared" si="3"/>
        <v>0</v>
      </c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</row>
    <row r="59" spans="1:30" s="138" customFormat="1" hidden="1" x14ac:dyDescent="0.25">
      <c r="A59" s="13"/>
      <c r="B59" s="14"/>
      <c r="C59" s="11"/>
      <c r="D59" s="11"/>
      <c r="E59" s="11"/>
      <c r="F59" s="11"/>
      <c r="G59" s="11"/>
      <c r="H59" s="12"/>
      <c r="I59" s="12"/>
      <c r="J59" s="65">
        <f t="shared" si="2"/>
        <v>0</v>
      </c>
      <c r="K59" s="66">
        <f t="shared" si="3"/>
        <v>0</v>
      </c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</row>
    <row r="60" spans="1:30" s="138" customFormat="1" hidden="1" x14ac:dyDescent="0.25">
      <c r="A60" s="13"/>
      <c r="B60" s="14"/>
      <c r="C60" s="11"/>
      <c r="D60" s="11"/>
      <c r="E60" s="11"/>
      <c r="F60" s="11"/>
      <c r="G60" s="11"/>
      <c r="H60" s="12"/>
      <c r="I60" s="12"/>
      <c r="J60" s="65">
        <f t="shared" si="2"/>
        <v>0</v>
      </c>
      <c r="K60" s="66">
        <f t="shared" si="3"/>
        <v>0</v>
      </c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</row>
    <row r="61" spans="1:30" s="138" customFormat="1" hidden="1" x14ac:dyDescent="0.25">
      <c r="A61" s="13"/>
      <c r="B61" s="14"/>
      <c r="C61" s="11"/>
      <c r="D61" s="11"/>
      <c r="E61" s="11"/>
      <c r="F61" s="11"/>
      <c r="G61" s="11"/>
      <c r="H61" s="12"/>
      <c r="I61" s="12"/>
      <c r="J61" s="65">
        <f t="shared" si="2"/>
        <v>0</v>
      </c>
      <c r="K61" s="66">
        <f t="shared" si="3"/>
        <v>0</v>
      </c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</row>
    <row r="62" spans="1:30" s="138" customFormat="1" hidden="1" x14ac:dyDescent="0.25">
      <c r="A62" s="13"/>
      <c r="B62" s="14"/>
      <c r="C62" s="11"/>
      <c r="D62" s="11"/>
      <c r="E62" s="11"/>
      <c r="F62" s="11"/>
      <c r="G62" s="11"/>
      <c r="H62" s="12"/>
      <c r="I62" s="12"/>
      <c r="J62" s="65">
        <f t="shared" si="2"/>
        <v>0</v>
      </c>
      <c r="K62" s="66">
        <f t="shared" si="3"/>
        <v>0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</row>
    <row r="63" spans="1:30" s="138" customFormat="1" hidden="1" x14ac:dyDescent="0.25">
      <c r="A63" s="13"/>
      <c r="B63" s="14"/>
      <c r="C63" s="11"/>
      <c r="D63" s="11"/>
      <c r="E63" s="11"/>
      <c r="F63" s="11"/>
      <c r="G63" s="11"/>
      <c r="H63" s="12"/>
      <c r="I63" s="12"/>
      <c r="J63" s="65">
        <f t="shared" si="2"/>
        <v>0</v>
      </c>
      <c r="K63" s="66">
        <f t="shared" si="3"/>
        <v>0</v>
      </c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</row>
    <row r="64" spans="1:30" s="138" customFormat="1" hidden="1" x14ac:dyDescent="0.25">
      <c r="A64" s="13"/>
      <c r="B64" s="14"/>
      <c r="C64" s="11"/>
      <c r="D64" s="11"/>
      <c r="E64" s="11"/>
      <c r="F64" s="11"/>
      <c r="G64" s="11"/>
      <c r="H64" s="12"/>
      <c r="I64" s="12"/>
      <c r="J64" s="65">
        <f t="shared" si="2"/>
        <v>0</v>
      </c>
      <c r="K64" s="66">
        <f t="shared" si="3"/>
        <v>0</v>
      </c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</row>
    <row r="65" spans="1:30" s="138" customFormat="1" hidden="1" x14ac:dyDescent="0.25">
      <c r="A65" s="13"/>
      <c r="B65" s="14"/>
      <c r="C65" s="11"/>
      <c r="D65" s="11"/>
      <c r="E65" s="11"/>
      <c r="F65" s="11"/>
      <c r="G65" s="11"/>
      <c r="H65" s="12"/>
      <c r="I65" s="12"/>
      <c r="J65" s="65">
        <f t="shared" si="2"/>
        <v>0</v>
      </c>
      <c r="K65" s="66">
        <f t="shared" si="3"/>
        <v>0</v>
      </c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</row>
    <row r="66" spans="1:30" s="138" customFormat="1" hidden="1" x14ac:dyDescent="0.25">
      <c r="A66" s="13"/>
      <c r="B66" s="14"/>
      <c r="C66" s="11"/>
      <c r="D66" s="11"/>
      <c r="E66" s="11"/>
      <c r="F66" s="11"/>
      <c r="G66" s="11"/>
      <c r="H66" s="12"/>
      <c r="I66" s="12"/>
      <c r="J66" s="65">
        <f t="shared" si="2"/>
        <v>0</v>
      </c>
      <c r="K66" s="66">
        <f t="shared" si="3"/>
        <v>0</v>
      </c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</row>
    <row r="67" spans="1:30" s="138" customFormat="1" hidden="1" x14ac:dyDescent="0.25">
      <c r="A67" s="13"/>
      <c r="B67" s="14"/>
      <c r="C67" s="11"/>
      <c r="D67" s="11"/>
      <c r="E67" s="11"/>
      <c r="F67" s="11"/>
      <c r="G67" s="11"/>
      <c r="H67" s="12"/>
      <c r="I67" s="12"/>
      <c r="J67" s="65">
        <f t="shared" si="2"/>
        <v>0</v>
      </c>
      <c r="K67" s="66">
        <f t="shared" si="3"/>
        <v>0</v>
      </c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</row>
    <row r="68" spans="1:30" s="138" customFormat="1" hidden="1" x14ac:dyDescent="0.25">
      <c r="A68" s="13"/>
      <c r="B68" s="14"/>
      <c r="C68" s="11"/>
      <c r="D68" s="11"/>
      <c r="E68" s="11"/>
      <c r="F68" s="11"/>
      <c r="G68" s="11"/>
      <c r="H68" s="12"/>
      <c r="I68" s="12"/>
      <c r="J68" s="65">
        <f t="shared" si="2"/>
        <v>0</v>
      </c>
      <c r="K68" s="66">
        <f t="shared" si="3"/>
        <v>0</v>
      </c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</row>
    <row r="69" spans="1:30" s="138" customFormat="1" hidden="1" x14ac:dyDescent="0.25">
      <c r="A69" s="13"/>
      <c r="B69" s="14"/>
      <c r="C69" s="11"/>
      <c r="D69" s="11"/>
      <c r="E69" s="11"/>
      <c r="F69" s="11"/>
      <c r="G69" s="11"/>
      <c r="H69" s="12"/>
      <c r="I69" s="12"/>
      <c r="J69" s="65">
        <f t="shared" si="2"/>
        <v>0</v>
      </c>
      <c r="K69" s="66">
        <f t="shared" si="3"/>
        <v>0</v>
      </c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</row>
    <row r="70" spans="1:30" s="138" customFormat="1" hidden="1" x14ac:dyDescent="0.25">
      <c r="A70" s="13"/>
      <c r="B70" s="14"/>
      <c r="C70" s="11"/>
      <c r="D70" s="11"/>
      <c r="E70" s="11"/>
      <c r="F70" s="11"/>
      <c r="G70" s="11"/>
      <c r="H70" s="12"/>
      <c r="I70" s="12"/>
      <c r="J70" s="65">
        <f t="shared" si="2"/>
        <v>0</v>
      </c>
      <c r="K70" s="66">
        <f t="shared" si="3"/>
        <v>0</v>
      </c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</row>
    <row r="71" spans="1:30" s="138" customFormat="1" hidden="1" x14ac:dyDescent="0.25">
      <c r="A71" s="13"/>
      <c r="B71" s="14"/>
      <c r="C71" s="11"/>
      <c r="D71" s="11"/>
      <c r="E71" s="11"/>
      <c r="F71" s="11"/>
      <c r="G71" s="11"/>
      <c r="H71" s="12"/>
      <c r="I71" s="12"/>
      <c r="J71" s="65">
        <f t="shared" si="2"/>
        <v>0</v>
      </c>
      <c r="K71" s="66">
        <f t="shared" si="3"/>
        <v>0</v>
      </c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</row>
    <row r="72" spans="1:30" s="138" customFormat="1" hidden="1" x14ac:dyDescent="0.25">
      <c r="A72" s="13"/>
      <c r="B72" s="14"/>
      <c r="C72" s="11"/>
      <c r="D72" s="11"/>
      <c r="E72" s="11"/>
      <c r="F72" s="11"/>
      <c r="G72" s="11"/>
      <c r="H72" s="12"/>
      <c r="I72" s="12"/>
      <c r="J72" s="65">
        <f t="shared" ref="J72:J81" si="4">I72-H72</f>
        <v>0</v>
      </c>
      <c r="K72" s="66">
        <f t="shared" ref="K72:K81" si="5">IFERROR(J72/H72*100,)</f>
        <v>0</v>
      </c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</row>
    <row r="73" spans="1:30" s="138" customFormat="1" hidden="1" x14ac:dyDescent="0.25">
      <c r="A73" s="13"/>
      <c r="B73" s="14"/>
      <c r="C73" s="11"/>
      <c r="D73" s="11"/>
      <c r="E73" s="11"/>
      <c r="F73" s="11"/>
      <c r="G73" s="11"/>
      <c r="H73" s="12"/>
      <c r="I73" s="12"/>
      <c r="J73" s="65">
        <f t="shared" si="4"/>
        <v>0</v>
      </c>
      <c r="K73" s="66">
        <f t="shared" si="5"/>
        <v>0</v>
      </c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</row>
    <row r="74" spans="1:30" s="138" customFormat="1" hidden="1" x14ac:dyDescent="0.25">
      <c r="A74" s="13"/>
      <c r="B74" s="14"/>
      <c r="C74" s="11"/>
      <c r="D74" s="11"/>
      <c r="E74" s="11"/>
      <c r="F74" s="11"/>
      <c r="G74" s="11"/>
      <c r="H74" s="12"/>
      <c r="I74" s="12"/>
      <c r="J74" s="65">
        <f t="shared" si="4"/>
        <v>0</v>
      </c>
      <c r="K74" s="66">
        <f t="shared" si="5"/>
        <v>0</v>
      </c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</row>
    <row r="75" spans="1:30" s="138" customFormat="1" hidden="1" x14ac:dyDescent="0.25">
      <c r="A75" s="13"/>
      <c r="B75" s="14"/>
      <c r="C75" s="11"/>
      <c r="D75" s="11"/>
      <c r="E75" s="11"/>
      <c r="F75" s="11"/>
      <c r="G75" s="11"/>
      <c r="H75" s="12"/>
      <c r="I75" s="12"/>
      <c r="J75" s="65">
        <f t="shared" si="4"/>
        <v>0</v>
      </c>
      <c r="K75" s="66">
        <f t="shared" si="5"/>
        <v>0</v>
      </c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</row>
    <row r="76" spans="1:30" s="138" customFormat="1" hidden="1" x14ac:dyDescent="0.25">
      <c r="A76" s="13"/>
      <c r="B76" s="14"/>
      <c r="C76" s="11"/>
      <c r="D76" s="11"/>
      <c r="E76" s="11"/>
      <c r="F76" s="11"/>
      <c r="G76" s="11"/>
      <c r="H76" s="12"/>
      <c r="I76" s="12"/>
      <c r="J76" s="65">
        <f t="shared" si="4"/>
        <v>0</v>
      </c>
      <c r="K76" s="66">
        <f t="shared" si="5"/>
        <v>0</v>
      </c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</row>
    <row r="77" spans="1:30" s="138" customFormat="1" hidden="1" x14ac:dyDescent="0.25">
      <c r="A77" s="13"/>
      <c r="B77" s="14"/>
      <c r="C77" s="11"/>
      <c r="D77" s="11"/>
      <c r="E77" s="11"/>
      <c r="F77" s="11"/>
      <c r="G77" s="11"/>
      <c r="H77" s="12"/>
      <c r="I77" s="12"/>
      <c r="J77" s="65">
        <f t="shared" si="4"/>
        <v>0</v>
      </c>
      <c r="K77" s="66">
        <f t="shared" si="5"/>
        <v>0</v>
      </c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</row>
    <row r="78" spans="1:30" s="138" customFormat="1" hidden="1" x14ac:dyDescent="0.25">
      <c r="A78" s="13"/>
      <c r="B78" s="14"/>
      <c r="C78" s="11"/>
      <c r="D78" s="11"/>
      <c r="E78" s="11"/>
      <c r="F78" s="11"/>
      <c r="G78" s="11"/>
      <c r="H78" s="12"/>
      <c r="I78" s="12"/>
      <c r="J78" s="65">
        <f t="shared" si="4"/>
        <v>0</v>
      </c>
      <c r="K78" s="66">
        <f t="shared" si="5"/>
        <v>0</v>
      </c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</row>
    <row r="79" spans="1:30" s="138" customFormat="1" hidden="1" x14ac:dyDescent="0.25">
      <c r="A79" s="13"/>
      <c r="B79" s="14"/>
      <c r="C79" s="11"/>
      <c r="D79" s="11"/>
      <c r="E79" s="11"/>
      <c r="F79" s="11"/>
      <c r="G79" s="11"/>
      <c r="H79" s="12"/>
      <c r="I79" s="12"/>
      <c r="J79" s="65">
        <f t="shared" si="4"/>
        <v>0</v>
      </c>
      <c r="K79" s="66">
        <f t="shared" si="5"/>
        <v>0</v>
      </c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</row>
    <row r="80" spans="1:30" s="138" customFormat="1" hidden="1" x14ac:dyDescent="0.25">
      <c r="A80" s="13"/>
      <c r="B80" s="14"/>
      <c r="C80" s="11"/>
      <c r="D80" s="11"/>
      <c r="E80" s="11"/>
      <c r="F80" s="11"/>
      <c r="G80" s="11"/>
      <c r="H80" s="12"/>
      <c r="I80" s="12"/>
      <c r="J80" s="65">
        <f t="shared" si="4"/>
        <v>0</v>
      </c>
      <c r="K80" s="66">
        <f t="shared" si="5"/>
        <v>0</v>
      </c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</row>
    <row r="81" spans="1:30" s="138" customFormat="1" hidden="1" x14ac:dyDescent="0.25">
      <c r="A81" s="13"/>
      <c r="B81" s="14"/>
      <c r="C81" s="11"/>
      <c r="D81" s="11"/>
      <c r="E81" s="11"/>
      <c r="F81" s="11"/>
      <c r="G81" s="11"/>
      <c r="H81" s="12"/>
      <c r="I81" s="12"/>
      <c r="J81" s="65">
        <f t="shared" si="4"/>
        <v>0</v>
      </c>
      <c r="K81" s="66">
        <f t="shared" si="5"/>
        <v>0</v>
      </c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</row>
    <row r="82" spans="1:30" s="138" customFormat="1" ht="27" thickBot="1" x14ac:dyDescent="0.3">
      <c r="A82" s="325" t="s">
        <v>6</v>
      </c>
      <c r="B82" s="326"/>
      <c r="C82" s="326"/>
      <c r="D82" s="326"/>
      <c r="E82" s="326"/>
      <c r="F82" s="326"/>
      <c r="G82" s="327"/>
      <c r="H82" s="153">
        <f>SUM(H8:H81)</f>
        <v>10437229.890000001</v>
      </c>
      <c r="I82" s="153">
        <f>SUM(I8:I81)</f>
        <v>11313862.569010362</v>
      </c>
      <c r="J82" s="153">
        <f>SUM(J8:J81)</f>
        <v>876632.67901036062</v>
      </c>
      <c r="K82" s="246">
        <f>IFERROR(J82/H82*100,)+AJ40</f>
        <v>8.3990933250427968</v>
      </c>
      <c r="L82" s="137"/>
      <c r="M82" s="137"/>
      <c r="N82" s="137"/>
      <c r="O82" s="137"/>
      <c r="P82" s="137"/>
      <c r="Q82" s="137"/>
      <c r="R82" s="137"/>
      <c r="S82" s="137"/>
      <c r="T82" s="137"/>
      <c r="U82" s="249"/>
      <c r="V82" s="137"/>
      <c r="W82" s="137"/>
      <c r="X82" s="137"/>
      <c r="Y82" s="137"/>
      <c r="Z82" s="137"/>
      <c r="AA82" s="137"/>
      <c r="AB82" s="137"/>
      <c r="AC82" s="137"/>
      <c r="AD82" s="137"/>
    </row>
    <row r="83" spans="1:30" s="138" customFormat="1" x14ac:dyDescent="0.25">
      <c r="A83" s="324" t="s">
        <v>358</v>
      </c>
      <c r="B83" s="324"/>
      <c r="C83" s="324"/>
      <c r="D83" s="324"/>
      <c r="E83" s="324"/>
      <c r="F83" s="324"/>
      <c r="G83" s="324"/>
      <c r="H83" s="140" t="b">
        <f>H82='Anexo 1. Fontes e Aplicações'!C34</f>
        <v>1</v>
      </c>
      <c r="I83" s="140" t="b">
        <f>I82='Anexo 1. Fontes e Aplicações'!D34</f>
        <v>1</v>
      </c>
      <c r="J83" s="140" t="b">
        <f>J82='Anexo 1. Fontes e Aplicações'!E34</f>
        <v>1</v>
      </c>
      <c r="K83" s="140" t="b">
        <f>K82='Anexo 1. Fontes e Aplicações'!F34</f>
        <v>1</v>
      </c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252"/>
      <c r="X83" s="137"/>
      <c r="Y83" s="137"/>
      <c r="Z83" s="137"/>
      <c r="AA83" s="137"/>
      <c r="AB83" s="137"/>
      <c r="AC83" s="137"/>
      <c r="AD83" s="137"/>
    </row>
    <row r="84" spans="1:30" s="138" customFormat="1" x14ac:dyDescent="0.25">
      <c r="A84" s="320" t="s">
        <v>224</v>
      </c>
      <c r="B84" s="320"/>
      <c r="C84" s="320"/>
      <c r="D84" s="320"/>
      <c r="E84" s="320"/>
      <c r="F84" s="320"/>
      <c r="G84" s="320"/>
      <c r="H84" s="320"/>
      <c r="I84" s="320"/>
      <c r="J84" s="320"/>
      <c r="K84" s="320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215">
        <v>1.0000000000000001E-9</v>
      </c>
      <c r="X84" s="137"/>
      <c r="Y84" s="137"/>
      <c r="Z84" s="137"/>
      <c r="AA84" s="137"/>
      <c r="AB84" s="137"/>
      <c r="AC84" s="137"/>
      <c r="AD84" s="137"/>
    </row>
    <row r="85" spans="1:30" s="138" customFormat="1" ht="120.75" customHeight="1" x14ac:dyDescent="0.25">
      <c r="A85" s="319"/>
      <c r="B85" s="319"/>
      <c r="C85" s="319"/>
      <c r="D85" s="319"/>
      <c r="E85" s="319"/>
      <c r="F85" s="319"/>
      <c r="G85" s="319"/>
      <c r="H85" s="319"/>
      <c r="I85" s="319"/>
      <c r="J85" s="319"/>
      <c r="K85" s="319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</row>
    <row r="86" spans="1:30" s="138" customFormat="1" hidden="1" x14ac:dyDescent="0.25">
      <c r="A86" s="318"/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</row>
    <row r="87" spans="1:30" hidden="1" x14ac:dyDescent="0.4">
      <c r="U87" s="215">
        <v>1E-14</v>
      </c>
    </row>
  </sheetData>
  <sheetProtection formatCells="0" formatRows="0" insertRows="0" deleteRows="0"/>
  <autoFilter ref="A6:K84">
    <filterColumn colId="9" showButton="0"/>
  </autoFilter>
  <mergeCells count="19">
    <mergeCell ref="A1:K1"/>
    <mergeCell ref="G6:G7"/>
    <mergeCell ref="A3:K3"/>
    <mergeCell ref="J6:K6"/>
    <mergeCell ref="A6:A7"/>
    <mergeCell ref="B6:B7"/>
    <mergeCell ref="C6:C7"/>
    <mergeCell ref="E6:E7"/>
    <mergeCell ref="D6:D7"/>
    <mergeCell ref="A2:K2"/>
    <mergeCell ref="A5:K5"/>
    <mergeCell ref="A86:K86"/>
    <mergeCell ref="A85:K85"/>
    <mergeCell ref="A84:K84"/>
    <mergeCell ref="H6:H7"/>
    <mergeCell ref="I6:I7"/>
    <mergeCell ref="F6:F7"/>
    <mergeCell ref="A83:G83"/>
    <mergeCell ref="A82:G82"/>
  </mergeCells>
  <phoneticPr fontId="21" type="noConversion"/>
  <conditionalFormatting sqref="H83:K83">
    <cfRule type="cellIs" dxfId="43" priority="20" operator="equal">
      <formula>TRUE</formula>
    </cfRule>
  </conditionalFormatting>
  <conditionalFormatting sqref="L8:L41">
    <cfRule type="cellIs" dxfId="42" priority="8" operator="equal">
      <formula>TRUE</formula>
    </cfRule>
  </conditionalFormatting>
  <conditionalFormatting sqref="M8">
    <cfRule type="cellIs" dxfId="41" priority="7" operator="equal">
      <formula>TRUE</formula>
    </cfRule>
  </conditionalFormatting>
  <conditionalFormatting sqref="N8">
    <cfRule type="cellIs" dxfId="40" priority="6" operator="equal">
      <formula>TRUE</formula>
    </cfRule>
  </conditionalFormatting>
  <conditionalFormatting sqref="M9:M41">
    <cfRule type="cellIs" dxfId="39" priority="5" operator="equal">
      <formula>TRUE</formula>
    </cfRule>
  </conditionalFormatting>
  <conditionalFormatting sqref="N9:N41">
    <cfRule type="cellIs" dxfId="38" priority="4" operator="equal">
      <formula>TRUE</formula>
    </cfRule>
  </conditionalFormatting>
  <conditionalFormatting sqref="M8:Q40">
    <cfRule type="cellIs" dxfId="37" priority="3" operator="equal">
      <formula>TRUE</formula>
    </cfRule>
  </conditionalFormatting>
  <conditionalFormatting sqref="R8:R40">
    <cfRule type="cellIs" dxfId="36" priority="2" operator="equal">
      <formula>TRUE</formula>
    </cfRule>
  </conditionalFormatting>
  <conditionalFormatting sqref="T25:T33">
    <cfRule type="cellIs" dxfId="35" priority="1" operator="equal">
      <formula>TRUE</formula>
    </cfRule>
  </conditionalFormatting>
  <pageMargins left="0.23622047244094491" right="0.23622047244094491" top="0.27" bottom="0.17" header="0.31496062992125984" footer="0.31496062992125984"/>
  <pageSetup paperSize="9" scale="4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'Validação de dados'!$D$1:$D$16</xm:f>
          </x14:formula1>
          <xm:sqref>E42:E81</xm:sqref>
        </x14:dataValidation>
        <x14:dataValidation type="list" allowBlank="1" showInputMessage="1" showErrorMessage="1">
          <x14:formula1>
            <xm:f>'Validação de dados'!$A$1:$A$17</xm:f>
          </x14:formula1>
          <xm:sqref>F8:F81</xm:sqref>
        </x14:dataValidation>
        <x14:dataValidation type="list" allowBlank="1" showInputMessage="1" showErrorMessage="1">
          <x14:formula1>
            <xm:f>'Validação de dados'!$E$1:$E$6</xm:f>
          </x14:formula1>
          <xm:sqref>B41:B81</xm:sqref>
        </x14:dataValidation>
        <x14:dataValidation type="list" allowBlank="1" showInputMessage="1" showErrorMessage="1">
          <x14:formula1>
            <xm:f>'[3]Validação de dados'!#REF!</xm:f>
          </x14:formula1>
          <xm:sqref>B8:B40 E8:E41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tabColor rgb="FFFF6900"/>
    <pageSetUpPr fitToPage="1"/>
  </sheetPr>
  <dimension ref="A1:XFC61"/>
  <sheetViews>
    <sheetView showGridLines="0" tabSelected="1" topLeftCell="B16" zoomScale="70" zoomScaleNormal="70" zoomScaleSheetLayoutView="80" workbookViewId="0">
      <selection activeCell="B36" sqref="B1:B1048576"/>
    </sheetView>
  </sheetViews>
  <sheetFormatPr defaultColWidth="9.140625" defaultRowHeight="15.75" zeroHeight="1" x14ac:dyDescent="0.25"/>
  <cols>
    <col min="1" max="1" width="47" style="73" customWidth="1"/>
    <col min="2" max="3" width="21.42578125" style="73" customWidth="1"/>
    <col min="4" max="4" width="24.28515625" style="73" bestFit="1" customWidth="1"/>
    <col min="5" max="5" width="23.42578125" style="73" customWidth="1"/>
    <col min="6" max="6" width="21.140625" style="73" customWidth="1"/>
    <col min="7" max="7" width="22.140625" style="73" customWidth="1"/>
    <col min="8" max="8" width="18.85546875" style="81" hidden="1" customWidth="1"/>
    <col min="9" max="9" width="18.85546875" style="83" hidden="1" customWidth="1"/>
    <col min="10" max="10" width="18.140625" style="81" hidden="1" customWidth="1"/>
    <col min="11" max="11" width="29.7109375" style="81" hidden="1" customWidth="1"/>
    <col min="12" max="12" width="22.7109375" style="81" customWidth="1"/>
    <col min="13" max="16382" width="9.140625" style="81"/>
    <col min="16383" max="16383" width="44.5703125" style="81" customWidth="1"/>
    <col min="16384" max="16384" width="0.140625" style="81" customWidth="1"/>
  </cols>
  <sheetData>
    <row r="1" spans="1:12" ht="118.5" customHeight="1" x14ac:dyDescent="0.25">
      <c r="A1" s="332" t="s">
        <v>359</v>
      </c>
      <c r="B1" s="332"/>
      <c r="C1" s="332"/>
      <c r="D1" s="332"/>
      <c r="E1" s="332"/>
      <c r="F1" s="332"/>
      <c r="G1" s="333"/>
    </row>
    <row r="2" spans="1:12" x14ac:dyDescent="0.25">
      <c r="A2" s="340" t="str">
        <f>'Indicadores e Metas'!A2:F2</f>
        <v xml:space="preserve">CAU/BA  </v>
      </c>
      <c r="B2" s="341"/>
      <c r="C2" s="341"/>
      <c r="D2" s="341"/>
      <c r="E2" s="341"/>
      <c r="F2" s="341"/>
      <c r="G2" s="342"/>
    </row>
    <row r="3" spans="1:12" s="82" customFormat="1" x14ac:dyDescent="0.25">
      <c r="A3" s="340" t="s">
        <v>344</v>
      </c>
      <c r="B3" s="341"/>
      <c r="C3" s="341"/>
      <c r="D3" s="341"/>
      <c r="E3" s="341"/>
      <c r="F3" s="341"/>
      <c r="G3" s="342"/>
      <c r="I3" s="84"/>
      <c r="J3" s="219"/>
      <c r="K3" s="219"/>
      <c r="L3" s="219"/>
    </row>
    <row r="4" spans="1:12" s="82" customFormat="1" ht="15.6" customHeight="1" x14ac:dyDescent="0.25">
      <c r="A4" s="360"/>
      <c r="B4" s="360"/>
      <c r="C4" s="360"/>
      <c r="D4" s="360"/>
      <c r="E4" s="360"/>
      <c r="F4" s="77" t="s">
        <v>18</v>
      </c>
      <c r="G4" s="75"/>
      <c r="I4" s="84"/>
      <c r="J4" s="144"/>
      <c r="K4" s="144"/>
      <c r="L4" s="144"/>
    </row>
    <row r="5" spans="1:12" ht="15.6" customHeight="1" x14ac:dyDescent="0.25">
      <c r="A5" s="345" t="s">
        <v>7</v>
      </c>
      <c r="B5" s="346"/>
      <c r="C5" s="343" t="s">
        <v>361</v>
      </c>
      <c r="D5" s="343" t="s">
        <v>360</v>
      </c>
      <c r="E5" s="322" t="s">
        <v>349</v>
      </c>
      <c r="F5" s="322"/>
      <c r="G5" s="338" t="s">
        <v>331</v>
      </c>
      <c r="J5" s="144"/>
      <c r="K5" s="144"/>
      <c r="L5" s="144"/>
    </row>
    <row r="6" spans="1:12" ht="31.5" x14ac:dyDescent="0.25">
      <c r="A6" s="347"/>
      <c r="B6" s="348"/>
      <c r="C6" s="344"/>
      <c r="D6" s="344"/>
      <c r="E6" s="154" t="s">
        <v>158</v>
      </c>
      <c r="F6" s="155" t="s">
        <v>159</v>
      </c>
      <c r="G6" s="338"/>
      <c r="J6" s="144"/>
      <c r="K6" s="144"/>
      <c r="L6" s="144"/>
    </row>
    <row r="7" spans="1:12" x14ac:dyDescent="0.25">
      <c r="A7" s="331" t="s">
        <v>332</v>
      </c>
      <c r="B7" s="331"/>
      <c r="C7" s="156"/>
      <c r="D7" s="156"/>
      <c r="E7" s="156"/>
      <c r="F7" s="157"/>
      <c r="G7" s="157"/>
      <c r="J7" s="144"/>
      <c r="K7" s="144"/>
      <c r="L7" s="144"/>
    </row>
    <row r="8" spans="1:12" x14ac:dyDescent="0.25">
      <c r="A8" s="335" t="s">
        <v>8</v>
      </c>
      <c r="B8" s="335"/>
      <c r="C8" s="67">
        <f>C9+C19+C20+C21</f>
        <v>4997229.8900000006</v>
      </c>
      <c r="D8" s="67">
        <f t="shared" ref="D8" si="0">D9+D19+D20+D21</f>
        <v>5723862.5690103611</v>
      </c>
      <c r="E8" s="67">
        <f>D8-C8</f>
        <v>726632.6790103605</v>
      </c>
      <c r="F8" s="67">
        <f>IFERROR(E8/C8*100,)</f>
        <v>14.540709453139854</v>
      </c>
      <c r="G8" s="68">
        <f>IFERROR(D8/$D$25*100,0)</f>
        <v>50.591586508117139</v>
      </c>
      <c r="H8" s="133" t="b">
        <f>C8='[2]Anexo 1. Fontes e Aplicações'!$F$8</f>
        <v>1</v>
      </c>
      <c r="I8" s="134"/>
      <c r="J8" s="133"/>
      <c r="K8" s="133"/>
    </row>
    <row r="9" spans="1:12" x14ac:dyDescent="0.25">
      <c r="A9" s="337" t="s">
        <v>79</v>
      </c>
      <c r="B9" s="337"/>
      <c r="C9" s="67">
        <f>C10+C17+C18</f>
        <v>4151765.1400000006</v>
      </c>
      <c r="D9" s="67">
        <f>D10+D17+D18</f>
        <v>4708747.3100000005</v>
      </c>
      <c r="E9" s="67">
        <f t="shared" ref="E9:E25" si="1">D9-C9</f>
        <v>556982.16999999993</v>
      </c>
      <c r="F9" s="67">
        <f t="shared" ref="F9:F25" si="2">IFERROR(E9/C9*100,)</f>
        <v>13.415551005854823</v>
      </c>
      <c r="G9" s="68">
        <f t="shared" ref="G9:G25" si="3">IFERROR(D9/$D$25*100,0)</f>
        <v>41.619272651390183</v>
      </c>
      <c r="H9" s="133" t="b">
        <f>C9='[2]Anexo 1. Fontes e Aplicações'!$F$9</f>
        <v>1</v>
      </c>
      <c r="I9" s="134" t="e">
        <f>I10+I17+I18</f>
        <v>#REF!</v>
      </c>
      <c r="J9" s="133" t="e">
        <f>D9=I9</f>
        <v>#REF!</v>
      </c>
      <c r="K9" s="135" t="e">
        <f>D9-I9</f>
        <v>#REF!</v>
      </c>
    </row>
    <row r="10" spans="1:12" ht="15.6" customHeight="1" x14ac:dyDescent="0.25">
      <c r="A10" s="337" t="s">
        <v>9</v>
      </c>
      <c r="B10" s="337"/>
      <c r="C10" s="67">
        <f>C11+C14</f>
        <v>2362859.2800000003</v>
      </c>
      <c r="D10" s="67">
        <f t="shared" ref="D10" si="4">D11+D14</f>
        <v>2691902.12</v>
      </c>
      <c r="E10" s="67">
        <f t="shared" si="1"/>
        <v>329042.83999999985</v>
      </c>
      <c r="F10" s="67">
        <f t="shared" si="2"/>
        <v>13.925621503790941</v>
      </c>
      <c r="G10" s="68">
        <f t="shared" si="3"/>
        <v>23.792954029451892</v>
      </c>
      <c r="H10" s="133" t="b">
        <f>C10='[2]Anexo 1. Fontes e Aplicações'!$F$10</f>
        <v>1</v>
      </c>
      <c r="I10" s="134" t="e">
        <f>I11+I14</f>
        <v>#REF!</v>
      </c>
      <c r="J10" s="133" t="e">
        <f t="shared" ref="J10:J18" si="5">D10=I10</f>
        <v>#REF!</v>
      </c>
      <c r="K10" s="135" t="e">
        <f t="shared" ref="K10:K18" si="6">D10-I10</f>
        <v>#REF!</v>
      </c>
    </row>
    <row r="11" spans="1:12" x14ac:dyDescent="0.25">
      <c r="A11" s="337" t="s">
        <v>10</v>
      </c>
      <c r="B11" s="337"/>
      <c r="C11" s="65">
        <f>SUM(C12:C13)</f>
        <v>2095269.05</v>
      </c>
      <c r="D11" s="65">
        <f t="shared" ref="D11" si="7">SUM(D12:D13)</f>
        <v>2420015.23</v>
      </c>
      <c r="E11" s="67">
        <f t="shared" si="1"/>
        <v>324746.17999999993</v>
      </c>
      <c r="F11" s="67">
        <f t="shared" si="2"/>
        <v>15.499020519584342</v>
      </c>
      <c r="G11" s="68">
        <f t="shared" si="3"/>
        <v>21.389823459837924</v>
      </c>
      <c r="H11" s="133" t="b">
        <f>C11='[2]Anexo 1. Fontes e Aplicações'!$F$11</f>
        <v>1</v>
      </c>
      <c r="I11" s="134" t="e">
        <f>I12+I13</f>
        <v>#REF!</v>
      </c>
      <c r="J11" s="133" t="e">
        <f t="shared" si="5"/>
        <v>#REF!</v>
      </c>
      <c r="K11" s="135" t="e">
        <f t="shared" si="6"/>
        <v>#REF!</v>
      </c>
    </row>
    <row r="12" spans="1:12" x14ac:dyDescent="0.25">
      <c r="A12" s="339" t="s">
        <v>345</v>
      </c>
      <c r="B12" s="339"/>
      <c r="C12" s="12">
        <v>1725578.28</v>
      </c>
      <c r="D12" s="12">
        <v>2050324.46</v>
      </c>
      <c r="E12" s="67">
        <f t="shared" si="1"/>
        <v>324746.17999999993</v>
      </c>
      <c r="F12" s="67">
        <f t="shared" si="2"/>
        <v>18.8195565373018</v>
      </c>
      <c r="G12" s="68">
        <f t="shared" si="3"/>
        <v>18.12223232776412</v>
      </c>
      <c r="H12" s="133" t="b">
        <f>C12='[2]Anexo 1. Fontes e Aplicações'!$F$12</f>
        <v>1</v>
      </c>
      <c r="I12" s="134" t="e">
        <f>#REF!</f>
        <v>#REF!</v>
      </c>
      <c r="J12" s="133" t="e">
        <f t="shared" si="5"/>
        <v>#REF!</v>
      </c>
      <c r="K12" s="135" t="e">
        <f t="shared" si="6"/>
        <v>#REF!</v>
      </c>
    </row>
    <row r="13" spans="1:12" x14ac:dyDescent="0.25">
      <c r="A13" s="339" t="s">
        <v>77</v>
      </c>
      <c r="B13" s="339"/>
      <c r="C13" s="12">
        <v>369690.77</v>
      </c>
      <c r="D13" s="12">
        <v>369690.77</v>
      </c>
      <c r="E13" s="67">
        <f t="shared" si="1"/>
        <v>0</v>
      </c>
      <c r="F13" s="67">
        <f t="shared" si="2"/>
        <v>0</v>
      </c>
      <c r="G13" s="68">
        <f t="shared" si="3"/>
        <v>3.2675911320738034</v>
      </c>
      <c r="H13" s="133" t="b">
        <f>C13='[2]Anexo 1. Fontes e Aplicações'!$F$13</f>
        <v>1</v>
      </c>
      <c r="I13" s="134" t="e">
        <f>#REF!</f>
        <v>#REF!</v>
      </c>
      <c r="J13" s="133" t="e">
        <f t="shared" si="5"/>
        <v>#REF!</v>
      </c>
      <c r="K13" s="135" t="e">
        <f t="shared" si="6"/>
        <v>#REF!</v>
      </c>
    </row>
    <row r="14" spans="1:12" x14ac:dyDescent="0.25">
      <c r="A14" s="337" t="s">
        <v>11</v>
      </c>
      <c r="B14" s="337"/>
      <c r="C14" s="67">
        <f>SUM(C15:C16)</f>
        <v>267590.23</v>
      </c>
      <c r="D14" s="67">
        <f t="shared" ref="D14" si="8">SUM(D15:D16)</f>
        <v>271886.89</v>
      </c>
      <c r="E14" s="67">
        <f t="shared" si="1"/>
        <v>4296.6600000000326</v>
      </c>
      <c r="F14" s="67">
        <f t="shared" si="2"/>
        <v>1.6056864258459782</v>
      </c>
      <c r="G14" s="68">
        <f t="shared" si="3"/>
        <v>2.4031305696139662</v>
      </c>
      <c r="H14" s="133" t="b">
        <f>C14='[2]Anexo 1. Fontes e Aplicações'!$F$14</f>
        <v>1</v>
      </c>
      <c r="I14" s="134" t="e">
        <f>I15+I16</f>
        <v>#REF!</v>
      </c>
      <c r="J14" s="133" t="e">
        <f t="shared" si="5"/>
        <v>#REF!</v>
      </c>
      <c r="K14" s="135" t="e">
        <f t="shared" si="6"/>
        <v>#REF!</v>
      </c>
    </row>
    <row r="15" spans="1:12" x14ac:dyDescent="0.25">
      <c r="A15" s="339" t="s">
        <v>346</v>
      </c>
      <c r="B15" s="339"/>
      <c r="C15" s="15">
        <v>167980.98</v>
      </c>
      <c r="D15" s="15">
        <v>172277.64</v>
      </c>
      <c r="E15" s="67">
        <f t="shared" si="1"/>
        <v>4296.6600000000035</v>
      </c>
      <c r="F15" s="67">
        <f t="shared" si="2"/>
        <v>2.5578252966496584</v>
      </c>
      <c r="G15" s="68">
        <f t="shared" si="3"/>
        <v>1.5227128573391302</v>
      </c>
      <c r="H15" s="133" t="b">
        <f>C15='[2]Anexo 1. Fontes e Aplicações'!$F$15</f>
        <v>1</v>
      </c>
      <c r="I15" s="134" t="e">
        <f>#REF!</f>
        <v>#REF!</v>
      </c>
      <c r="J15" s="133" t="e">
        <f t="shared" si="5"/>
        <v>#REF!</v>
      </c>
      <c r="K15" s="135" t="e">
        <f t="shared" si="6"/>
        <v>#REF!</v>
      </c>
    </row>
    <row r="16" spans="1:12" x14ac:dyDescent="0.25">
      <c r="A16" s="339" t="s">
        <v>78</v>
      </c>
      <c r="B16" s="339"/>
      <c r="C16" s="15">
        <v>99609.25</v>
      </c>
      <c r="D16" s="15">
        <v>99609.25</v>
      </c>
      <c r="E16" s="67">
        <f t="shared" si="1"/>
        <v>0</v>
      </c>
      <c r="F16" s="67">
        <f t="shared" si="2"/>
        <v>0</v>
      </c>
      <c r="G16" s="68">
        <f t="shared" si="3"/>
        <v>0.88041771227483578</v>
      </c>
      <c r="H16" s="133" t="b">
        <f>C16='[2]Anexo 1. Fontes e Aplicações'!$F$16</f>
        <v>1</v>
      </c>
      <c r="I16" s="134" t="e">
        <f>#REF!</f>
        <v>#REF!</v>
      </c>
      <c r="J16" s="133" t="e">
        <f t="shared" si="5"/>
        <v>#REF!</v>
      </c>
      <c r="K16" s="135" t="e">
        <f t="shared" si="6"/>
        <v>#REF!</v>
      </c>
    </row>
    <row r="17" spans="1:16 16383:16383" x14ac:dyDescent="0.25">
      <c r="A17" s="334" t="s">
        <v>68</v>
      </c>
      <c r="B17" s="334"/>
      <c r="C17" s="16">
        <v>1628784.86</v>
      </c>
      <c r="D17" s="16">
        <v>1814966.75</v>
      </c>
      <c r="E17" s="67">
        <f t="shared" si="1"/>
        <v>186181.8899999999</v>
      </c>
      <c r="F17" s="67">
        <f t="shared" si="2"/>
        <v>11.430723269370265</v>
      </c>
      <c r="G17" s="68">
        <f t="shared" si="3"/>
        <v>16.041972747409442</v>
      </c>
      <c r="H17" s="133" t="b">
        <f>C17='[2]Anexo 1. Fontes e Aplicações'!$F$17</f>
        <v>1</v>
      </c>
      <c r="I17" s="134" t="e">
        <f>#REF!</f>
        <v>#REF!</v>
      </c>
      <c r="J17" s="133" t="e">
        <f t="shared" si="5"/>
        <v>#REF!</v>
      </c>
      <c r="K17" s="135" t="e">
        <f t="shared" si="6"/>
        <v>#REF!</v>
      </c>
      <c r="P17" s="219"/>
    </row>
    <row r="18" spans="1:16 16383:16383" ht="15.6" customHeight="1" x14ac:dyDescent="0.25">
      <c r="A18" s="334" t="s">
        <v>157</v>
      </c>
      <c r="B18" s="334"/>
      <c r="C18" s="16">
        <v>160121</v>
      </c>
      <c r="D18" s="16">
        <v>201878.44</v>
      </c>
      <c r="E18" s="67">
        <f t="shared" si="1"/>
        <v>41757.440000000002</v>
      </c>
      <c r="F18" s="67">
        <f t="shared" si="2"/>
        <v>26.078677999762679</v>
      </c>
      <c r="G18" s="68">
        <f t="shared" si="3"/>
        <v>1.7843458745288487</v>
      </c>
      <c r="H18" s="133" t="b">
        <f>C18='[2]Anexo 1. Fontes e Aplicações'!$F$18</f>
        <v>1</v>
      </c>
      <c r="I18" s="134" t="e">
        <f>#REF!</f>
        <v>#REF!</v>
      </c>
      <c r="J18" s="133" t="e">
        <f t="shared" si="5"/>
        <v>#REF!</v>
      </c>
      <c r="K18" s="135" t="e">
        <f t="shared" si="6"/>
        <v>#REF!</v>
      </c>
      <c r="P18" s="220"/>
    </row>
    <row r="19" spans="1:16 16383:16383" x14ac:dyDescent="0.25">
      <c r="A19" s="334" t="s">
        <v>12</v>
      </c>
      <c r="B19" s="334"/>
      <c r="C19" s="16">
        <v>815159.88</v>
      </c>
      <c r="D19" s="16">
        <f>1000000</f>
        <v>1000000</v>
      </c>
      <c r="E19" s="67">
        <f t="shared" si="1"/>
        <v>184840.12</v>
      </c>
      <c r="F19" s="67">
        <f>IFERROR(E19/C19*100,)</f>
        <v>22.67532106707705</v>
      </c>
      <c r="G19" s="68">
        <f t="shared" si="3"/>
        <v>8.8387143992634805</v>
      </c>
      <c r="H19" s="133" t="b">
        <f>C19='[2]Anexo 1. Fontes e Aplicações'!$F$19</f>
        <v>1</v>
      </c>
      <c r="I19" s="134"/>
      <c r="J19" s="133"/>
      <c r="K19" s="133"/>
      <c r="M19" s="220"/>
      <c r="N19" s="220"/>
      <c r="O19" s="220"/>
      <c r="P19" s="220"/>
    </row>
    <row r="20" spans="1:16 16383:16383" x14ac:dyDescent="0.25">
      <c r="A20" s="334" t="s">
        <v>141</v>
      </c>
      <c r="B20" s="334"/>
      <c r="C20" s="17">
        <v>30304.87</v>
      </c>
      <c r="D20" s="207">
        <v>15115.259010360656</v>
      </c>
      <c r="E20" s="67">
        <f t="shared" si="1"/>
        <v>-15189.610989639343</v>
      </c>
      <c r="F20" s="67">
        <f t="shared" si="2"/>
        <v>-50.122673318312685</v>
      </c>
      <c r="G20" s="68">
        <f t="shared" si="3"/>
        <v>0.13359945746347179</v>
      </c>
      <c r="H20" s="133" t="b">
        <f>C20='[2]Anexo 1. Fontes e Aplicações'!$F$20</f>
        <v>1</v>
      </c>
      <c r="I20" s="221" t="e">
        <f>#REF!</f>
        <v>#REF!</v>
      </c>
      <c r="J20" s="133" t="e">
        <f>I20=D20</f>
        <v>#REF!</v>
      </c>
      <c r="K20" s="133"/>
      <c r="M20" s="220"/>
      <c r="N20" s="220"/>
      <c r="O20" s="220"/>
      <c r="P20" s="220"/>
    </row>
    <row r="21" spans="1:16 16383:16383" x14ac:dyDescent="0.25">
      <c r="A21" s="334" t="s">
        <v>13</v>
      </c>
      <c r="B21" s="334"/>
      <c r="C21" s="17">
        <v>0</v>
      </c>
      <c r="D21" s="17"/>
      <c r="E21" s="67">
        <f t="shared" si="1"/>
        <v>0</v>
      </c>
      <c r="F21" s="67">
        <f t="shared" si="2"/>
        <v>0</v>
      </c>
      <c r="G21" s="68">
        <f t="shared" si="3"/>
        <v>0</v>
      </c>
      <c r="H21" s="133" t="b">
        <f>C21='[2]Anexo 1. Fontes e Aplicações'!$F$21</f>
        <v>1</v>
      </c>
      <c r="I21" s="134"/>
      <c r="J21" s="133"/>
      <c r="K21" s="133"/>
      <c r="M21" s="220"/>
      <c r="N21" s="220"/>
      <c r="O21" s="220"/>
      <c r="P21" s="220"/>
    </row>
    <row r="22" spans="1:16 16383:16383" x14ac:dyDescent="0.25">
      <c r="A22" s="335" t="s">
        <v>292</v>
      </c>
      <c r="B22" s="335"/>
      <c r="C22" s="67">
        <f>SUM(C23:C24)</f>
        <v>5440000</v>
      </c>
      <c r="D22" s="67">
        <f>SUM(D23:D24)</f>
        <v>5590000</v>
      </c>
      <c r="E22" s="67">
        <f t="shared" si="1"/>
        <v>150000</v>
      </c>
      <c r="F22" s="67">
        <f t="shared" si="2"/>
        <v>2.7573529411764706</v>
      </c>
      <c r="G22" s="68">
        <f t="shared" si="3"/>
        <v>49.408413491882861</v>
      </c>
      <c r="H22" s="133" t="b">
        <f>C22='[2]Anexo 1. Fontes e Aplicações'!$F$22</f>
        <v>1</v>
      </c>
      <c r="I22" s="134"/>
      <c r="J22" s="133"/>
      <c r="K22" s="133"/>
    </row>
    <row r="23" spans="1:16 16383:16383" x14ac:dyDescent="0.25">
      <c r="A23" s="334" t="s">
        <v>14</v>
      </c>
      <c r="B23" s="334"/>
      <c r="C23" s="17">
        <f>5440000</f>
        <v>5440000</v>
      </c>
      <c r="D23" s="17">
        <f>5590000</f>
        <v>5590000</v>
      </c>
      <c r="E23" s="67">
        <f t="shared" si="1"/>
        <v>150000</v>
      </c>
      <c r="F23" s="67">
        <f t="shared" si="2"/>
        <v>2.7573529411764706</v>
      </c>
      <c r="G23" s="68">
        <f t="shared" si="3"/>
        <v>49.408413491882861</v>
      </c>
      <c r="H23" s="133" t="b">
        <f>C23='[2]Anexo 1. Fontes e Aplicações'!$F$23</f>
        <v>1</v>
      </c>
      <c r="I23" s="134" t="e">
        <f>#REF!</f>
        <v>#REF!</v>
      </c>
      <c r="J23" s="135" t="e">
        <f>I23-D23</f>
        <v>#REF!</v>
      </c>
      <c r="K23" s="135" t="s">
        <v>506</v>
      </c>
    </row>
    <row r="24" spans="1:16 16383:16383" x14ac:dyDescent="0.25">
      <c r="A24" s="334" t="s">
        <v>140</v>
      </c>
      <c r="B24" s="334"/>
      <c r="C24" s="17"/>
      <c r="D24" s="17"/>
      <c r="E24" s="67">
        <f t="shared" si="1"/>
        <v>0</v>
      </c>
      <c r="F24" s="67">
        <f t="shared" si="2"/>
        <v>0</v>
      </c>
      <c r="G24" s="68">
        <f t="shared" si="3"/>
        <v>0</v>
      </c>
      <c r="H24" s="133" t="b">
        <f>C24='[2]Anexo 1. Fontes e Aplicações'!$F$24</f>
        <v>1</v>
      </c>
      <c r="I24" s="134"/>
      <c r="J24" s="133"/>
      <c r="K24" s="133"/>
    </row>
    <row r="25" spans="1:16 16383:16383" x14ac:dyDescent="0.25">
      <c r="A25" s="335" t="s">
        <v>15</v>
      </c>
      <c r="B25" s="335"/>
      <c r="C25" s="67">
        <f>SUM(C8,C22)</f>
        <v>10437229.890000001</v>
      </c>
      <c r="D25" s="216">
        <f>SUM(D8,D22)</f>
        <v>11313862.569010362</v>
      </c>
      <c r="E25" s="216">
        <f t="shared" si="1"/>
        <v>876632.67901036143</v>
      </c>
      <c r="F25" s="216">
        <f t="shared" si="2"/>
        <v>8.399093325042795</v>
      </c>
      <c r="G25" s="68">
        <f t="shared" si="3"/>
        <v>100</v>
      </c>
      <c r="H25" s="133" t="b">
        <f>C25='[2]Anexo 1. Fontes e Aplicações'!$F$25</f>
        <v>1</v>
      </c>
      <c r="I25" s="134"/>
      <c r="J25" s="133"/>
      <c r="K25" s="133"/>
      <c r="XFC25" s="251"/>
    </row>
    <row r="26" spans="1:16 16383:16383" x14ac:dyDescent="0.25">
      <c r="A26" s="331" t="s">
        <v>333</v>
      </c>
      <c r="B26" s="331"/>
      <c r="C26" s="158"/>
      <c r="D26" s="158"/>
      <c r="E26" s="158"/>
      <c r="F26" s="158"/>
      <c r="G26" s="159"/>
      <c r="H26" s="134"/>
      <c r="I26" s="134"/>
      <c r="J26" s="133"/>
      <c r="K26" s="133"/>
    </row>
    <row r="27" spans="1:16 16383:16383" x14ac:dyDescent="0.25">
      <c r="A27" s="337" t="s">
        <v>293</v>
      </c>
      <c r="B27" s="337"/>
      <c r="C27" s="67">
        <f>SUM(C28:C30)</f>
        <v>10007578.030000001</v>
      </c>
      <c r="D27" s="67">
        <f>SUM(D28:D30)</f>
        <v>10801934.912013959</v>
      </c>
      <c r="E27" s="67">
        <f t="shared" ref="E27:E32" si="9">D27-C27</f>
        <v>794356.88201395795</v>
      </c>
      <c r="F27" s="67">
        <f t="shared" ref="F27:F34" si="10">IFERROR(E27/C27*100,)</f>
        <v>7.9375537181193261</v>
      </c>
      <c r="G27" s="68">
        <f t="shared" ref="G27:G34" si="11">IFERROR(D27/$D$34*100,0)</f>
        <v>95.475217646724673</v>
      </c>
      <c r="H27" s="133" t="b">
        <f>C27='[2]Anexo 1. Fontes e Aplicações'!$F$27</f>
        <v>1</v>
      </c>
      <c r="I27" s="134"/>
      <c r="J27" s="133"/>
      <c r="K27" s="133"/>
      <c r="XFC27" s="250"/>
    </row>
    <row r="28" spans="1:16 16383:16383" x14ac:dyDescent="0.25">
      <c r="A28" s="337" t="s">
        <v>294</v>
      </c>
      <c r="B28" s="337"/>
      <c r="C28" s="69">
        <f>SUMIF('Quadro Geral'!$B$8:$B$81,"p",'Quadro Geral'!$H$8:$H$81)+SUMIF('Quadro Geral'!$B$8:$B$81,"p.",'Quadro Geral'!$H$8:$H$81)</f>
        <v>6099268.46</v>
      </c>
      <c r="D28" s="69">
        <f>SUMIF('Quadro Geral'!$B$8:$B$81,"p",'Quadro Geral'!$I$8:$I$81)</f>
        <v>6138400</v>
      </c>
      <c r="E28" s="67">
        <f t="shared" si="9"/>
        <v>39131.540000000037</v>
      </c>
      <c r="F28" s="67">
        <f t="shared" si="10"/>
        <v>0.64157759666804437</v>
      </c>
      <c r="G28" s="68">
        <f t="shared" si="11"/>
        <v>54.255564468438941</v>
      </c>
      <c r="H28" s="133" t="b">
        <f>C28='[2]Anexo 1. Fontes e Aplicações'!$F$28</f>
        <v>1</v>
      </c>
      <c r="I28" s="134">
        <f>SUMIF('Quadro Geral'!B8:B42,"P",'Quadro Geral'!I8:I42)</f>
        <v>6138400</v>
      </c>
      <c r="J28" s="133" t="b">
        <f t="shared" ref="J28:J33" si="12">I28=D28</f>
        <v>1</v>
      </c>
      <c r="K28" s="133"/>
    </row>
    <row r="29" spans="1:16 16383:16383" x14ac:dyDescent="0.25">
      <c r="A29" s="349" t="s">
        <v>295</v>
      </c>
      <c r="B29" s="350"/>
      <c r="C29" s="69">
        <f>SUMIF('Quadro Geral'!$B$8:$B$81,"pe",'Quadro Geral'!$H$8:$H$81)+SUMIF('Quadro Geral'!$B$8:$B$81,"pe.",'Quadro Geral'!$H$8:$H$81)</f>
        <v>0</v>
      </c>
      <c r="D29" s="69">
        <f>SUMIF('Quadro Geral'!$B$8:$B$81,"pe",'Quadro Geral'!$I$8:$I$81)</f>
        <v>0</v>
      </c>
      <c r="E29" s="67">
        <f t="shared" si="9"/>
        <v>0</v>
      </c>
      <c r="F29" s="67">
        <f t="shared" si="10"/>
        <v>0</v>
      </c>
      <c r="G29" s="68">
        <f t="shared" si="11"/>
        <v>0</v>
      </c>
      <c r="H29" s="133" t="b">
        <f>C29='[2]Anexo 1. Fontes e Aplicações'!$F$29</f>
        <v>1</v>
      </c>
      <c r="I29" s="134">
        <f>SUMIF('Quadro Geral'!B8:B42,"PE",'Quadro Geral'!I8:I42)</f>
        <v>0</v>
      </c>
      <c r="J29" s="133" t="b">
        <f t="shared" si="12"/>
        <v>1</v>
      </c>
      <c r="K29" s="133"/>
    </row>
    <row r="30" spans="1:16 16383:16383" x14ac:dyDescent="0.25">
      <c r="A30" s="337" t="s">
        <v>296</v>
      </c>
      <c r="B30" s="337"/>
      <c r="C30" s="69">
        <f>SUMIF('Quadro Geral'!$B$8:$B$81,"a",'Quadro Geral'!$H$8:$H$81)+SUMIF('Quadro Geral'!$B$8:$B$81,"a.",'Quadro Geral'!$H$8:$H$81)-C31-C32-C33</f>
        <v>3908309.5700000008</v>
      </c>
      <c r="D30" s="69">
        <f>SUMIF('Quadro Geral'!$B$8:$B$81,"a",'Quadro Geral'!$I$8:$I$81)-D31-D32-D33</f>
        <v>4663534.9120139582</v>
      </c>
      <c r="E30" s="67">
        <f>D30-C30</f>
        <v>755225.34201395744</v>
      </c>
      <c r="F30" s="67">
        <f t="shared" si="10"/>
        <v>19.323580399337644</v>
      </c>
      <c r="G30" s="68">
        <f t="shared" si="11"/>
        <v>41.219653178285718</v>
      </c>
      <c r="H30" s="133" t="b">
        <f>C30='[2]Anexo 1. Fontes e Aplicações'!$F$30</f>
        <v>1</v>
      </c>
      <c r="I30" s="134" t="e">
        <f>SUMIF('Quadro Geral'!B8:B42,"A",'Quadro Geral'!I8:I42)-I31-I32-I33</f>
        <v>#REF!</v>
      </c>
      <c r="J30" s="133" t="e">
        <f t="shared" si="12"/>
        <v>#REF!</v>
      </c>
      <c r="K30" s="133"/>
      <c r="L30" s="212"/>
    </row>
    <row r="31" spans="1:16 16383:16383" x14ac:dyDescent="0.25">
      <c r="A31" s="334" t="s">
        <v>297</v>
      </c>
      <c r="B31" s="334"/>
      <c r="C31" s="16">
        <v>57457.43</v>
      </c>
      <c r="D31" s="207">
        <v>63933.47699640358</v>
      </c>
      <c r="E31" s="67">
        <f t="shared" si="9"/>
        <v>6476.0469964035801</v>
      </c>
      <c r="F31" s="67">
        <f t="shared" si="10"/>
        <v>11.271034914724833</v>
      </c>
      <c r="G31" s="68">
        <f t="shared" si="11"/>
        <v>0.56508974372309284</v>
      </c>
      <c r="H31" s="133" t="b">
        <f>C31='[2]Anexo 1. Fontes e Aplicações'!$F$31</f>
        <v>1</v>
      </c>
      <c r="I31" s="134" t="e">
        <f>#REF!</f>
        <v>#REF!</v>
      </c>
      <c r="J31" s="133" t="e">
        <f t="shared" si="12"/>
        <v>#REF!</v>
      </c>
      <c r="K31" s="133"/>
    </row>
    <row r="32" spans="1:16 16383:16383" x14ac:dyDescent="0.25">
      <c r="A32" s="334" t="s">
        <v>298</v>
      </c>
      <c r="B32" s="334"/>
      <c r="C32" s="16">
        <v>330887.48000000004</v>
      </c>
      <c r="D32" s="16">
        <v>406994.18</v>
      </c>
      <c r="E32" s="67">
        <f t="shared" si="9"/>
        <v>76106.699999999953</v>
      </c>
      <c r="F32" s="67">
        <f t="shared" si="10"/>
        <v>23.000779600364432</v>
      </c>
      <c r="G32" s="68">
        <f t="shared" si="11"/>
        <v>3.5973053191824325</v>
      </c>
      <c r="H32" s="133" t="b">
        <f>C32='[2]Anexo 1. Fontes e Aplicações'!$F$32</f>
        <v>1</v>
      </c>
      <c r="I32" s="134" t="e">
        <f>#REF!+#REF!</f>
        <v>#REF!</v>
      </c>
      <c r="J32" s="133" t="e">
        <f t="shared" si="12"/>
        <v>#REF!</v>
      </c>
      <c r="K32" s="133"/>
    </row>
    <row r="33" spans="1:12" x14ac:dyDescent="0.25">
      <c r="A33" s="334" t="s">
        <v>299</v>
      </c>
      <c r="B33" s="334"/>
      <c r="C33" s="16">
        <v>41306.949999999997</v>
      </c>
      <c r="D33" s="16">
        <v>41000</v>
      </c>
      <c r="E33" s="67">
        <f>D33-C33</f>
        <v>-306.94999999999709</v>
      </c>
      <c r="F33" s="67">
        <f t="shared" si="10"/>
        <v>-0.74309529025986454</v>
      </c>
      <c r="G33" s="68">
        <f t="shared" si="11"/>
        <v>0.36238729036980272</v>
      </c>
      <c r="H33" s="133" t="b">
        <f>C33='[2]Anexo 1. Fontes e Aplicações'!$F$33</f>
        <v>1</v>
      </c>
      <c r="I33" s="134">
        <f>'Quadro Geral'!I35</f>
        <v>41000</v>
      </c>
      <c r="J33" s="133" t="b">
        <f t="shared" si="12"/>
        <v>1</v>
      </c>
      <c r="K33" s="133"/>
    </row>
    <row r="34" spans="1:12" x14ac:dyDescent="0.25">
      <c r="A34" s="335" t="s">
        <v>16</v>
      </c>
      <c r="B34" s="335"/>
      <c r="C34" s="67">
        <f>SUM(C27,C31:C33)</f>
        <v>10437229.890000001</v>
      </c>
      <c r="D34" s="216">
        <f>SUM(D27,D31:D33)</f>
        <v>11313862.569010362</v>
      </c>
      <c r="E34" s="216">
        <f>D34-C34</f>
        <v>876632.67901036143</v>
      </c>
      <c r="F34" s="67">
        <f t="shared" si="10"/>
        <v>8.399093325042795</v>
      </c>
      <c r="G34" s="68">
        <f t="shared" si="11"/>
        <v>100</v>
      </c>
      <c r="H34" s="133" t="b">
        <f>C34='[2]Anexo 1. Fontes e Aplicações'!$F$34</f>
        <v>1</v>
      </c>
      <c r="I34" s="134"/>
      <c r="J34" s="133"/>
      <c r="K34" s="133"/>
    </row>
    <row r="35" spans="1:12" x14ac:dyDescent="0.25">
      <c r="A35" s="336" t="s">
        <v>17</v>
      </c>
      <c r="B35" s="336"/>
      <c r="C35" s="70">
        <f>C25-C34</f>
        <v>0</v>
      </c>
      <c r="D35" s="211">
        <f>D25-D34</f>
        <v>0</v>
      </c>
      <c r="E35" s="210">
        <f t="shared" ref="E35" si="13">E25-E34</f>
        <v>0</v>
      </c>
      <c r="F35" s="209">
        <f>F25-F34</f>
        <v>0</v>
      </c>
      <c r="G35" s="132"/>
      <c r="H35" s="133"/>
      <c r="I35" s="134"/>
      <c r="J35" s="133"/>
      <c r="K35" s="133"/>
    </row>
    <row r="36" spans="1:12" x14ac:dyDescent="0.25">
      <c r="A36" s="78"/>
      <c r="B36" s="78"/>
      <c r="C36" s="180" t="b">
        <f>C34='Quadro Geral'!H82</f>
        <v>1</v>
      </c>
      <c r="D36" s="180" t="b">
        <f>D34='Quadro Geral'!I82</f>
        <v>1</v>
      </c>
      <c r="E36" s="180" t="b">
        <f>E34='Quadro Geral'!J82</f>
        <v>1</v>
      </c>
      <c r="F36" s="133" t="b">
        <f>F34='Quadro Geral'!K82</f>
        <v>1</v>
      </c>
      <c r="G36" s="79"/>
      <c r="I36" s="213"/>
      <c r="L36" s="222"/>
    </row>
    <row r="37" spans="1:12" x14ac:dyDescent="0.25">
      <c r="A37" s="361" t="s">
        <v>347</v>
      </c>
      <c r="B37" s="362"/>
      <c r="C37" s="362"/>
      <c r="D37" s="362"/>
      <c r="E37" s="362"/>
      <c r="F37" s="362"/>
      <c r="G37" s="362"/>
      <c r="I37" s="242"/>
      <c r="J37" s="238"/>
      <c r="K37" s="239"/>
      <c r="L37" s="223"/>
    </row>
    <row r="38" spans="1:12" x14ac:dyDescent="0.25">
      <c r="A38" s="160" t="s">
        <v>71</v>
      </c>
      <c r="B38" s="357" t="s">
        <v>162</v>
      </c>
      <c r="C38" s="358"/>
      <c r="D38" s="359"/>
      <c r="E38" s="357" t="s">
        <v>163</v>
      </c>
      <c r="F38" s="358"/>
      <c r="G38" s="359"/>
      <c r="I38" s="242"/>
      <c r="J38" s="240"/>
      <c r="K38" s="239"/>
      <c r="L38" s="222"/>
    </row>
    <row r="39" spans="1:12" ht="47.25" x14ac:dyDescent="0.25">
      <c r="A39" s="160"/>
      <c r="B39" s="161" t="s">
        <v>350</v>
      </c>
      <c r="C39" s="161" t="s">
        <v>348</v>
      </c>
      <c r="D39" s="161" t="s">
        <v>154</v>
      </c>
      <c r="E39" s="161" t="s">
        <v>350</v>
      </c>
      <c r="F39" s="161" t="s">
        <v>348</v>
      </c>
      <c r="G39" s="161" t="s">
        <v>154</v>
      </c>
      <c r="I39" s="242"/>
      <c r="J39" s="241"/>
      <c r="K39" s="239"/>
    </row>
    <row r="40" spans="1:12" x14ac:dyDescent="0.25">
      <c r="A40" s="136" t="s">
        <v>72</v>
      </c>
      <c r="B40" s="71">
        <f>C8</f>
        <v>4997229.8900000006</v>
      </c>
      <c r="C40" s="71">
        <f>D8</f>
        <v>5723862.5690103611</v>
      </c>
      <c r="D40" s="72">
        <f>IFERROR(C40/B40*100-100,)</f>
        <v>14.540709453139854</v>
      </c>
      <c r="E40" s="204">
        <v>4997229.8899999997</v>
      </c>
      <c r="F40" s="71">
        <f>'Anexo 3. Elemento de Despesas'!O81</f>
        <v>5723862.5690103611</v>
      </c>
      <c r="G40" s="72">
        <f>IFERROR(F40/E40*100-100,)</f>
        <v>14.540709453139883</v>
      </c>
      <c r="I40" s="242"/>
      <c r="J40" s="237">
        <v>-1.280568540096283E-9</v>
      </c>
      <c r="K40" s="243"/>
    </row>
    <row r="41" spans="1:12" x14ac:dyDescent="0.25">
      <c r="A41" s="136" t="s">
        <v>73</v>
      </c>
      <c r="B41" s="71">
        <f>C22</f>
        <v>5440000</v>
      </c>
      <c r="C41" s="71">
        <f>D22</f>
        <v>5590000</v>
      </c>
      <c r="D41" s="72">
        <f t="shared" ref="D41:D42" si="14">IFERROR(C41/B41*100-100,)</f>
        <v>2.7573529411764781</v>
      </c>
      <c r="E41" s="204">
        <v>5440000</v>
      </c>
      <c r="F41" s="71">
        <f>'Anexo 3. Elemento de Despesas'!P81</f>
        <v>5590000</v>
      </c>
      <c r="G41" s="72">
        <f t="shared" ref="G41:G42" si="15">IFERROR(F41/E41*100-100,)</f>
        <v>2.7573529411764781</v>
      </c>
      <c r="I41" s="242"/>
      <c r="J41" s="244"/>
      <c r="K41" s="245"/>
    </row>
    <row r="42" spans="1:12" x14ac:dyDescent="0.25">
      <c r="A42" s="162" t="s">
        <v>0</v>
      </c>
      <c r="B42" s="163">
        <f>SUM(B40:B41)</f>
        <v>10437229.890000001</v>
      </c>
      <c r="C42" s="163">
        <f>SUM(C40:C41)</f>
        <v>11313862.569010362</v>
      </c>
      <c r="D42" s="163">
        <f t="shared" si="14"/>
        <v>8.3990933250427844</v>
      </c>
      <c r="E42" s="163">
        <v>10437229.890000001</v>
      </c>
      <c r="F42" s="163">
        <f>SUM(F40:F41)</f>
        <v>11313862.569010362</v>
      </c>
      <c r="G42" s="163">
        <f t="shared" si="15"/>
        <v>8.3990933250427844</v>
      </c>
    </row>
    <row r="43" spans="1:12" x14ac:dyDescent="0.25">
      <c r="A43" s="205"/>
      <c r="B43" s="180" t="b">
        <f>B42=C25</f>
        <v>1</v>
      </c>
      <c r="C43" s="180" t="b">
        <f>C42=D25</f>
        <v>1</v>
      </c>
      <c r="D43" s="180"/>
      <c r="E43" s="180" t="b">
        <f>E42=C34</f>
        <v>1</v>
      </c>
      <c r="F43" s="133" t="b">
        <f>F42=D34</f>
        <v>1</v>
      </c>
      <c r="G43" s="206"/>
    </row>
    <row r="44" spans="1:12" ht="31.5" x14ac:dyDescent="0.25">
      <c r="A44" s="161" t="s">
        <v>7</v>
      </c>
      <c r="B44" s="161" t="s">
        <v>226</v>
      </c>
      <c r="C44" s="161" t="s">
        <v>227</v>
      </c>
      <c r="D44" s="161" t="s">
        <v>228</v>
      </c>
    </row>
    <row r="45" spans="1:12" x14ac:dyDescent="0.25">
      <c r="A45" s="160" t="s">
        <v>110</v>
      </c>
      <c r="B45" s="178">
        <f>D8</f>
        <v>5723862.5690103611</v>
      </c>
      <c r="C45" s="178">
        <f>D22</f>
        <v>5590000</v>
      </c>
      <c r="D45" s="178">
        <f>SUM(B45:C45)</f>
        <v>11313862.569010362</v>
      </c>
      <c r="E45" s="133" t="b">
        <f>D45=D25</f>
        <v>1</v>
      </c>
    </row>
    <row r="46" spans="1:12" x14ac:dyDescent="0.25">
      <c r="A46" s="160" t="s">
        <v>111</v>
      </c>
      <c r="B46" s="178">
        <f>'Anexo 3. Elemento de Despesas'!O81</f>
        <v>5723862.5690103611</v>
      </c>
      <c r="C46" s="178">
        <f>'Anexo 3. Elemento de Despesas'!P81</f>
        <v>5590000</v>
      </c>
      <c r="D46" s="178">
        <f>SUM(B46:C46)</f>
        <v>11313862.569010362</v>
      </c>
      <c r="E46" s="133" t="b">
        <f>D46='Anexo 3. Elemento de Despesas'!Q81</f>
        <v>1</v>
      </c>
    </row>
    <row r="47" spans="1:12" x14ac:dyDescent="0.25">
      <c r="A47" s="164" t="s">
        <v>17</v>
      </c>
      <c r="B47" s="165">
        <f>B45-B46</f>
        <v>0</v>
      </c>
      <c r="C47" s="165">
        <f t="shared" ref="C47:D47" si="16">C45-C46</f>
        <v>0</v>
      </c>
      <c r="D47" s="165">
        <f t="shared" si="16"/>
        <v>0</v>
      </c>
    </row>
    <row r="48" spans="1:12" x14ac:dyDescent="0.25"/>
    <row r="49" spans="1:7" ht="18" customHeight="1" x14ac:dyDescent="0.25">
      <c r="A49" s="161" t="s">
        <v>290</v>
      </c>
      <c r="B49" s="161" t="s">
        <v>291</v>
      </c>
    </row>
    <row r="50" spans="1:7" x14ac:dyDescent="0.25">
      <c r="A50" s="161" t="s">
        <v>362</v>
      </c>
      <c r="B50" s="234" t="e">
        <f>#REF!</f>
        <v>#REF!</v>
      </c>
      <c r="C50" s="181" t="e">
        <f>B50=#REF!</f>
        <v>#REF!</v>
      </c>
    </row>
    <row r="51" spans="1:7" x14ac:dyDescent="0.25">
      <c r="A51" s="161" t="s">
        <v>281</v>
      </c>
      <c r="B51" s="178">
        <f>C46</f>
        <v>5590000</v>
      </c>
    </row>
    <row r="52" spans="1:7" x14ac:dyDescent="0.25">
      <c r="A52" s="161" t="s">
        <v>368</v>
      </c>
      <c r="B52" s="142">
        <f>IFERROR(B51/B50,)</f>
        <v>0</v>
      </c>
    </row>
    <row r="53" spans="1:7" x14ac:dyDescent="0.25">
      <c r="A53" s="161" t="s">
        <v>369</v>
      </c>
      <c r="B53" s="178">
        <f>D29</f>
        <v>0</v>
      </c>
    </row>
    <row r="54" spans="1:7" x14ac:dyDescent="0.25">
      <c r="A54" s="161" t="s">
        <v>370</v>
      </c>
      <c r="B54" s="142">
        <f>IFERROR(B53/B50,)</f>
        <v>0</v>
      </c>
    </row>
    <row r="55" spans="1:7" x14ac:dyDescent="0.25">
      <c r="A55" s="161" t="s">
        <v>282</v>
      </c>
      <c r="B55" s="178" t="e">
        <f>B50-B51-B53</f>
        <v>#REF!</v>
      </c>
    </row>
    <row r="56" spans="1:7" x14ac:dyDescent="0.25">
      <c r="A56" s="166" t="s">
        <v>283</v>
      </c>
      <c r="B56" s="80"/>
    </row>
    <row r="57" spans="1:7" x14ac:dyDescent="0.25">
      <c r="A57" s="81"/>
      <c r="B57" s="81"/>
    </row>
    <row r="58" spans="1:7" x14ac:dyDescent="0.25"/>
    <row r="59" spans="1:7" x14ac:dyDescent="0.25"/>
    <row r="60" spans="1:7" x14ac:dyDescent="0.25">
      <c r="A60" s="351" t="s">
        <v>224</v>
      </c>
      <c r="B60" s="352"/>
      <c r="C60" s="352"/>
      <c r="D60" s="352"/>
      <c r="E60" s="352"/>
      <c r="F60" s="352"/>
      <c r="G60" s="353"/>
    </row>
    <row r="61" spans="1:7" ht="72" customHeight="1" x14ac:dyDescent="0.25">
      <c r="A61" s="354"/>
      <c r="B61" s="355"/>
      <c r="C61" s="355"/>
      <c r="D61" s="355"/>
      <c r="E61" s="355"/>
      <c r="F61" s="355"/>
      <c r="G61" s="356"/>
    </row>
  </sheetData>
  <mergeCells count="43">
    <mergeCell ref="A60:G60"/>
    <mergeCell ref="A61:G61"/>
    <mergeCell ref="E38:G38"/>
    <mergeCell ref="B38:D38"/>
    <mergeCell ref="A4:E4"/>
    <mergeCell ref="A37:G37"/>
    <mergeCell ref="A32:B32"/>
    <mergeCell ref="A23:B23"/>
    <mergeCell ref="A12:B12"/>
    <mergeCell ref="A13:B13"/>
    <mergeCell ref="A14:B14"/>
    <mergeCell ref="A2:G2"/>
    <mergeCell ref="A3:G3"/>
    <mergeCell ref="E5:F5"/>
    <mergeCell ref="D5:D6"/>
    <mergeCell ref="A31:B31"/>
    <mergeCell ref="A5:B6"/>
    <mergeCell ref="A7:B7"/>
    <mergeCell ref="A24:B24"/>
    <mergeCell ref="A25:B25"/>
    <mergeCell ref="A26:B26"/>
    <mergeCell ref="A27:B27"/>
    <mergeCell ref="C5:C6"/>
    <mergeCell ref="A29:B29"/>
    <mergeCell ref="A17:B17"/>
    <mergeCell ref="A10:B10"/>
    <mergeCell ref="A11:B11"/>
    <mergeCell ref="A1:G1"/>
    <mergeCell ref="A33:B33"/>
    <mergeCell ref="A34:B34"/>
    <mergeCell ref="A35:B35"/>
    <mergeCell ref="A8:B8"/>
    <mergeCell ref="A9:B9"/>
    <mergeCell ref="A18:B18"/>
    <mergeCell ref="A19:B19"/>
    <mergeCell ref="A20:B20"/>
    <mergeCell ref="A21:B21"/>
    <mergeCell ref="A22:B22"/>
    <mergeCell ref="G5:G6"/>
    <mergeCell ref="A28:B28"/>
    <mergeCell ref="A30:B30"/>
    <mergeCell ref="A15:B15"/>
    <mergeCell ref="A16:B16"/>
  </mergeCells>
  <phoneticPr fontId="21" type="noConversion"/>
  <conditionalFormatting sqref="C36:E36">
    <cfRule type="cellIs" dxfId="34" priority="20" operator="equal">
      <formula>TRUE</formula>
    </cfRule>
  </conditionalFormatting>
  <conditionalFormatting sqref="J9:J18">
    <cfRule type="cellIs" dxfId="33" priority="18" operator="equal">
      <formula>TRUE</formula>
    </cfRule>
    <cfRule type="cellIs" dxfId="32" priority="19" operator="equal">
      <formula>FALSE</formula>
    </cfRule>
  </conditionalFormatting>
  <conditionalFormatting sqref="J23">
    <cfRule type="cellIs" dxfId="31" priority="15" operator="equal">
      <formula>FALSE</formula>
    </cfRule>
    <cfRule type="cellIs" dxfId="30" priority="16" operator="equal">
      <formula>TRUE</formula>
    </cfRule>
    <cfRule type="cellIs" dxfId="29" priority="17" operator="equal">
      <formula>FALSE</formula>
    </cfRule>
  </conditionalFormatting>
  <conditionalFormatting sqref="H8:H25 H27:H34">
    <cfRule type="cellIs" dxfId="28" priority="13" operator="equal">
      <formula>TRUE</formula>
    </cfRule>
    <cfRule type="cellIs" dxfId="27" priority="14" operator="equal">
      <formula>FALSE</formula>
    </cfRule>
  </conditionalFormatting>
  <conditionalFormatting sqref="B43:E43">
    <cfRule type="cellIs" dxfId="26" priority="12" operator="equal">
      <formula>TRUE</formula>
    </cfRule>
  </conditionalFormatting>
  <conditionalFormatting sqref="C50">
    <cfRule type="cellIs" dxfId="25" priority="11" operator="equal">
      <formula>TRUE</formula>
    </cfRule>
  </conditionalFormatting>
  <conditionalFormatting sqref="J28:J33">
    <cfRule type="cellIs" dxfId="24" priority="9" operator="equal">
      <formula>TRUE</formula>
    </cfRule>
    <cfRule type="cellIs" dxfId="23" priority="10" operator="equal">
      <formula>FALSE</formula>
    </cfRule>
  </conditionalFormatting>
  <conditionalFormatting sqref="F36">
    <cfRule type="cellIs" dxfId="22" priority="7" operator="equal">
      <formula>TRUE</formula>
    </cfRule>
    <cfRule type="cellIs" dxfId="21" priority="8" operator="equal">
      <formula>FALSE</formula>
    </cfRule>
  </conditionalFormatting>
  <conditionalFormatting sqref="E45:E46">
    <cfRule type="cellIs" dxfId="20" priority="5" operator="equal">
      <formula>TRUE</formula>
    </cfRule>
    <cfRule type="cellIs" dxfId="19" priority="6" operator="equal">
      <formula>FALSE</formula>
    </cfRule>
  </conditionalFormatting>
  <conditionalFormatting sqref="F43">
    <cfRule type="cellIs" dxfId="18" priority="3" operator="equal">
      <formula>TRUE</formula>
    </cfRule>
    <cfRule type="cellIs" dxfId="17" priority="4" operator="equal">
      <formula>FALSE</formula>
    </cfRule>
  </conditionalFormatting>
  <conditionalFormatting sqref="J20">
    <cfRule type="cellIs" dxfId="16" priority="1" operator="equal">
      <formula>TRUE</formula>
    </cfRule>
    <cfRule type="cellIs" dxfId="15" priority="2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>
    <tabColor rgb="FFFF6900"/>
  </sheetPr>
  <dimension ref="A1:T29"/>
  <sheetViews>
    <sheetView topLeftCell="A10" zoomScale="60" zoomScaleNormal="60" workbookViewId="0">
      <selection activeCell="V15" sqref="V15"/>
    </sheetView>
  </sheetViews>
  <sheetFormatPr defaultColWidth="9.140625" defaultRowHeight="26.25" zeroHeight="1" x14ac:dyDescent="0.4"/>
  <cols>
    <col min="1" max="1" width="7.85546875" style="26" bestFit="1" customWidth="1"/>
    <col min="2" max="2" width="47.5703125" style="26" bestFit="1" customWidth="1"/>
    <col min="3" max="3" width="10.42578125" style="26" bestFit="1" customWidth="1"/>
    <col min="4" max="4" width="23.85546875" style="26" bestFit="1" customWidth="1"/>
    <col min="5" max="5" width="20.140625" style="26" bestFit="1" customWidth="1"/>
    <col min="6" max="6" width="14.42578125" style="26" bestFit="1" customWidth="1"/>
    <col min="7" max="7" width="17" style="26" hidden="1" customWidth="1"/>
    <col min="8" max="8" width="21.28515625" style="26" hidden="1" customWidth="1"/>
    <col min="9" max="9" width="17" style="26" hidden="1" customWidth="1"/>
    <col min="10" max="10" width="14" style="26" customWidth="1"/>
    <col min="11" max="11" width="7.85546875" style="26" bestFit="1" customWidth="1"/>
    <col min="12" max="12" width="53" style="26" customWidth="1"/>
    <col min="13" max="13" width="10.42578125" style="26" bestFit="1" customWidth="1"/>
    <col min="14" max="14" width="23.85546875" style="26" bestFit="1" customWidth="1"/>
    <col min="15" max="15" width="21.85546875" style="26" bestFit="1" customWidth="1"/>
    <col min="16" max="16" width="14.42578125" style="26" bestFit="1" customWidth="1"/>
    <col min="17" max="17" width="14.42578125" style="26" hidden="1" customWidth="1"/>
    <col min="18" max="18" width="21.85546875" style="26" hidden="1" customWidth="1"/>
    <col min="19" max="19" width="21.7109375" style="86" hidden="1" customWidth="1"/>
    <col min="20" max="20" width="9.140625" style="86" customWidth="1"/>
    <col min="21" max="16384" width="9.140625" style="86"/>
  </cols>
  <sheetData>
    <row r="1" spans="1:20" x14ac:dyDescent="0.4">
      <c r="A1" s="366" t="s">
        <v>59</v>
      </c>
      <c r="B1" s="366"/>
      <c r="C1" s="366"/>
      <c r="D1" s="366"/>
      <c r="E1" s="366"/>
      <c r="F1" s="366"/>
      <c r="G1" s="367"/>
      <c r="H1" s="367"/>
      <c r="I1" s="367"/>
      <c r="J1" s="367"/>
      <c r="K1" s="367"/>
      <c r="L1" s="366"/>
      <c r="M1" s="366"/>
      <c r="N1" s="366"/>
      <c r="O1" s="366"/>
      <c r="P1" s="366"/>
      <c r="Q1" s="228"/>
    </row>
    <row r="2" spans="1:20" x14ac:dyDescent="0.4">
      <c r="A2" s="266" t="str">
        <f>'Indicadores e Metas'!A2:F2</f>
        <v xml:space="preserve">CAU/BA  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32"/>
    </row>
    <row r="3" spans="1:20" x14ac:dyDescent="0.4">
      <c r="A3" s="266" t="s">
        <v>351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32"/>
    </row>
    <row r="4" spans="1:20" x14ac:dyDescent="0.4"/>
    <row r="5" spans="1:20" ht="36" customHeight="1" x14ac:dyDescent="0.4">
      <c r="A5" s="368" t="s">
        <v>46</v>
      </c>
      <c r="B5" s="369" t="s">
        <v>47</v>
      </c>
      <c r="C5" s="369"/>
      <c r="D5" s="154" t="s">
        <v>354</v>
      </c>
      <c r="E5" s="154" t="s">
        <v>352</v>
      </c>
      <c r="F5" s="154" t="s">
        <v>52</v>
      </c>
      <c r="G5" s="124"/>
      <c r="H5" s="124"/>
      <c r="I5" s="124"/>
      <c r="J5" s="124"/>
      <c r="K5" s="368" t="s">
        <v>46</v>
      </c>
      <c r="L5" s="369" t="s">
        <v>48</v>
      </c>
      <c r="M5" s="369"/>
      <c r="N5" s="154" t="s">
        <v>354</v>
      </c>
      <c r="O5" s="154" t="s">
        <v>352</v>
      </c>
      <c r="P5" s="154" t="s">
        <v>154</v>
      </c>
      <c r="Q5" s="229"/>
    </row>
    <row r="6" spans="1:20" ht="36" customHeight="1" x14ac:dyDescent="0.4">
      <c r="A6" s="368"/>
      <c r="B6" s="371" t="s">
        <v>160</v>
      </c>
      <c r="C6" s="371"/>
      <c r="D6" s="189">
        <f>'Anexo 1. Fontes e Aplicações'!C9</f>
        <v>4151765.1400000006</v>
      </c>
      <c r="E6" s="189">
        <f>'Anexo 1. Fontes e Aplicações'!D9</f>
        <v>4708747.3100000005</v>
      </c>
      <c r="F6" s="18">
        <f>IFERROR(E6/D6*100-100,0)</f>
        <v>13.415551005854837</v>
      </c>
      <c r="G6" s="181" t="b">
        <f>D6='[2]Anexo 2. Limites Estratégicos'!$E$6</f>
        <v>1</v>
      </c>
      <c r="H6" s="85">
        <f>'Anexo 1. Fontes e Aplicações'!D9</f>
        <v>4708747.3100000005</v>
      </c>
      <c r="I6" s="181" t="b">
        <f>H6=E6</f>
        <v>1</v>
      </c>
      <c r="J6" s="100"/>
      <c r="K6" s="370"/>
      <c r="L6" s="372" t="s">
        <v>65</v>
      </c>
      <c r="M6" s="372"/>
      <c r="N6" s="88">
        <v>1789225.59</v>
      </c>
      <c r="O6" s="187">
        <f>'Anexo 3. Elemento de Despesas'!F81</f>
        <v>2495991.66</v>
      </c>
      <c r="P6" s="190">
        <f>IFERROR(O6/N6*100-100,0)</f>
        <v>39.501227455616714</v>
      </c>
      <c r="Q6" s="181" t="b">
        <f>N6='[2]Anexo 2. Limites Estratégicos'!$L$6</f>
        <v>1</v>
      </c>
      <c r="R6" s="181" t="b">
        <f>O6='Anexo 3. Elemento de Despesas'!F81</f>
        <v>1</v>
      </c>
    </row>
    <row r="7" spans="1:20" ht="36" customHeight="1" x14ac:dyDescent="0.4">
      <c r="A7" s="368"/>
      <c r="B7" s="371" t="s">
        <v>49</v>
      </c>
      <c r="C7" s="371"/>
      <c r="D7" s="189">
        <f>'Anexo 1. Fontes e Aplicações'!C21</f>
        <v>0</v>
      </c>
      <c r="E7" s="189">
        <f>'Anexo 1. Fontes e Aplicações'!D21</f>
        <v>0</v>
      </c>
      <c r="F7" s="18">
        <f>IFERROR(E7/D7*100-100,0)</f>
        <v>0</v>
      </c>
      <c r="G7" s="181" t="b">
        <f>D7='[2]Anexo 2. Limites Estratégicos'!$E$7</f>
        <v>1</v>
      </c>
      <c r="H7" s="85">
        <f>'Anexo 1. Fontes e Aplicações'!D21</f>
        <v>0</v>
      </c>
      <c r="I7" s="181" t="b">
        <f>H7=E7</f>
        <v>1</v>
      </c>
      <c r="J7" s="100"/>
      <c r="K7" s="370"/>
      <c r="L7" s="372" t="s">
        <v>60</v>
      </c>
      <c r="M7" s="372"/>
      <c r="N7" s="88">
        <v>236683.29</v>
      </c>
      <c r="O7" s="89">
        <v>382029.02</v>
      </c>
      <c r="P7" s="190">
        <f>IFERROR(O7/N7*100-100,0)</f>
        <v>61.409375372465036</v>
      </c>
      <c r="Q7" s="181" t="b">
        <f>N7='[2]Anexo 2. Limites Estratégicos'!$L$7</f>
        <v>1</v>
      </c>
      <c r="R7" s="128">
        <f>50068.82+187916.3+144043.9</f>
        <v>382029.02</v>
      </c>
      <c r="S7" s="181" t="b">
        <f>R7=O7</f>
        <v>1</v>
      </c>
    </row>
    <row r="8" spans="1:20" ht="36" customHeight="1" x14ac:dyDescent="0.4">
      <c r="A8" s="368"/>
      <c r="B8" s="373" t="s">
        <v>61</v>
      </c>
      <c r="C8" s="373"/>
      <c r="D8" s="167">
        <f>SUM(D6:D7)</f>
        <v>4151765.1400000006</v>
      </c>
      <c r="E8" s="167">
        <f>SUM(E6:E7)</f>
        <v>4708747.3100000005</v>
      </c>
      <c r="F8" s="168">
        <f>IFERROR(E8/D8*100-100,0)</f>
        <v>13.415551005854837</v>
      </c>
      <c r="G8" s="181" t="b">
        <f>D8='[2]Anexo 2. Limites Estratégicos'!$E$8</f>
        <v>1</v>
      </c>
      <c r="H8" s="85">
        <f>H6+H7</f>
        <v>4708747.3100000005</v>
      </c>
      <c r="I8" s="181" t="b">
        <f>H8=E8</f>
        <v>1</v>
      </c>
      <c r="J8" s="100"/>
      <c r="K8" s="370"/>
      <c r="L8" s="372" t="s">
        <v>62</v>
      </c>
      <c r="M8" s="372"/>
      <c r="N8" s="188">
        <f>'Anexo 1. Fontes e Aplicações'!C8</f>
        <v>4997229.8900000006</v>
      </c>
      <c r="O8" s="187">
        <f>'Anexo 1. Fontes e Aplicações'!D8</f>
        <v>5723862.5690103611</v>
      </c>
      <c r="P8" s="190">
        <f>IFERROR(O8/N8*100-100,0)</f>
        <v>14.540709453139854</v>
      </c>
      <c r="Q8" s="181" t="b">
        <f>N8='[2]Anexo 2. Limites Estratégicos'!$L$8</f>
        <v>1</v>
      </c>
      <c r="R8" s="128">
        <f>'Anexo 1. Fontes e Aplicações'!D8</f>
        <v>5723862.5690103611</v>
      </c>
      <c r="S8" s="181" t="b">
        <f>R8=O8</f>
        <v>1</v>
      </c>
    </row>
    <row r="9" spans="1:20" ht="36" customHeight="1" x14ac:dyDescent="0.4">
      <c r="A9" s="368"/>
      <c r="B9" s="371" t="s">
        <v>63</v>
      </c>
      <c r="C9" s="371"/>
      <c r="D9" s="189">
        <f>'Anexo 1. Fontes e Aplicações'!C31</f>
        <v>57457.43</v>
      </c>
      <c r="E9" s="189">
        <f>'Anexo 1. Fontes e Aplicações'!D31</f>
        <v>63933.47699640358</v>
      </c>
      <c r="F9" s="18">
        <f>IFERROR(E9/D9*100-100,0)</f>
        <v>11.271034914724837</v>
      </c>
      <c r="G9" s="181" t="b">
        <f>D9='[2]Anexo 2. Limites Estratégicos'!$E$9</f>
        <v>1</v>
      </c>
      <c r="H9" s="85">
        <f>'Anexo 1. Fontes e Aplicações'!D31</f>
        <v>63933.47699640358</v>
      </c>
      <c r="I9" s="181" t="b">
        <f>H9=E9</f>
        <v>1</v>
      </c>
      <c r="J9" s="100"/>
      <c r="K9" s="363"/>
      <c r="L9" s="363"/>
      <c r="M9" s="87"/>
      <c r="N9" s="180" t="b">
        <f>N8='Anexo 1. Fontes e Aplicações'!C8</f>
        <v>1</v>
      </c>
      <c r="O9" s="180" t="b">
        <f>O8='Anexo 1. Fontes e Aplicações'!D8</f>
        <v>1</v>
      </c>
      <c r="P9" s="90"/>
      <c r="Q9" s="90"/>
      <c r="R9" s="90"/>
    </row>
    <row r="10" spans="1:20" ht="36" customHeight="1" x14ac:dyDescent="0.4">
      <c r="A10" s="368"/>
      <c r="B10" s="331" t="s">
        <v>74</v>
      </c>
      <c r="C10" s="331"/>
      <c r="D10" s="167">
        <f>D8-D9</f>
        <v>4094307.7100000004</v>
      </c>
      <c r="E10" s="167">
        <f>E8-E9</f>
        <v>4644813.8330035973</v>
      </c>
      <c r="F10" s="168">
        <f>IFERROR(E10/D10*100-100,0)</f>
        <v>13.445646052909808</v>
      </c>
      <c r="G10" s="181" t="b">
        <f>'[2]Anexo 2. Limites Estratégicos'!$E$10=D10</f>
        <v>1</v>
      </c>
      <c r="H10" s="85">
        <f>H8-H9</f>
        <v>4644813.8330035973</v>
      </c>
      <c r="I10" s="181" t="b">
        <f>H10=E10</f>
        <v>1</v>
      </c>
      <c r="J10" s="100"/>
      <c r="K10" s="75"/>
      <c r="L10" s="75"/>
      <c r="M10" s="87"/>
      <c r="N10" s="91"/>
      <c r="O10" s="92"/>
      <c r="P10" s="91"/>
      <c r="Q10" s="91"/>
      <c r="R10" s="93"/>
    </row>
    <row r="11" spans="1:20" s="98" customFormat="1" ht="36" customHeight="1" x14ac:dyDescent="0.4">
      <c r="A11" s="94"/>
      <c r="B11" s="95"/>
      <c r="C11" s="95"/>
      <c r="D11" s="96"/>
      <c r="E11" s="96"/>
      <c r="F11" s="91"/>
      <c r="G11" s="96"/>
      <c r="H11" s="96"/>
      <c r="I11" s="96"/>
      <c r="J11" s="100"/>
      <c r="K11" s="75"/>
      <c r="L11" s="75"/>
      <c r="M11" s="87"/>
      <c r="N11" s="91"/>
      <c r="O11" s="92"/>
      <c r="P11" s="91"/>
      <c r="Q11" s="91"/>
      <c r="R11" s="97"/>
    </row>
    <row r="12" spans="1:20" ht="36" customHeight="1" x14ac:dyDescent="0.4">
      <c r="A12" s="368" t="s">
        <v>69</v>
      </c>
      <c r="B12" s="369" t="s">
        <v>53</v>
      </c>
      <c r="C12" s="369"/>
      <c r="D12" s="154" t="s">
        <v>354</v>
      </c>
      <c r="E12" s="154" t="s">
        <v>352</v>
      </c>
      <c r="F12" s="154" t="s">
        <v>3</v>
      </c>
      <c r="G12" s="96"/>
      <c r="H12" s="96"/>
      <c r="I12" s="96"/>
      <c r="J12" s="100"/>
      <c r="K12" s="369" t="s">
        <v>53</v>
      </c>
      <c r="L12" s="369"/>
      <c r="M12" s="369"/>
      <c r="N12" s="154" t="s">
        <v>354</v>
      </c>
      <c r="O12" s="154" t="s">
        <v>352</v>
      </c>
      <c r="P12" s="154" t="s">
        <v>70</v>
      </c>
      <c r="Q12" s="229"/>
      <c r="R12" s="93"/>
    </row>
    <row r="13" spans="1:20" ht="36" customHeight="1" x14ac:dyDescent="0.4">
      <c r="A13" s="368"/>
      <c r="B13" s="364" t="s">
        <v>371</v>
      </c>
      <c r="C13" s="125" t="s">
        <v>50</v>
      </c>
      <c r="D13" s="88">
        <v>803938.79</v>
      </c>
      <c r="E13" s="179">
        <f>'Quadro Geral'!I16+'Quadro Geral'!I32+'Quadro Geral'!I34</f>
        <v>877076.65</v>
      </c>
      <c r="F13" s="18">
        <f>IFERROR(E13/D13*100-100,)</f>
        <v>9.0974413611762657</v>
      </c>
      <c r="G13" s="181" t="b">
        <f>D13='[2]Anexo 2. Limites Estratégicos'!$E$13</f>
        <v>1</v>
      </c>
      <c r="H13" s="128">
        <f>SUMIF('Quadro Geral'!$E:$E,'Validação de dados'!D15,'Quadro Geral'!$I:$I)</f>
        <v>877076.65</v>
      </c>
      <c r="I13" s="181" t="b">
        <f>H13=E13</f>
        <v>1</v>
      </c>
      <c r="J13" s="100"/>
      <c r="K13" s="376" t="s">
        <v>378</v>
      </c>
      <c r="L13" s="377"/>
      <c r="M13" s="125" t="s">
        <v>50</v>
      </c>
      <c r="N13" s="188">
        <f>(N6-N7)</f>
        <v>1552542.3</v>
      </c>
      <c r="O13" s="187">
        <f>(O6-O7)</f>
        <v>2113962.64</v>
      </c>
      <c r="P13" s="18">
        <f>IFERROR(O13/N13*100-100,0)</f>
        <v>36.161355474823466</v>
      </c>
      <c r="Q13" s="181" t="b">
        <f>N13='[2]Anexo 2. Limites Estratégicos'!$L$13</f>
        <v>1</v>
      </c>
      <c r="R13" s="128">
        <f>'Anexo 3. Elemento de Despesas'!F81-'Anexo 2. Limites Estratégicos'!R7</f>
        <v>2113962.64</v>
      </c>
      <c r="S13" s="181" t="b">
        <f>R13=O13</f>
        <v>1</v>
      </c>
      <c r="T13" s="99"/>
    </row>
    <row r="14" spans="1:20" ht="36" customHeight="1" x14ac:dyDescent="0.4">
      <c r="A14" s="368"/>
      <c r="B14" s="365"/>
      <c r="C14" s="185" t="s">
        <v>51</v>
      </c>
      <c r="D14" s="127">
        <f>IFERROR(D13/$D$10,0)</f>
        <v>0.19635524414455893</v>
      </c>
      <c r="E14" s="127">
        <f>IFERROR(E13/$E$10,0)</f>
        <v>0.1888292365493652</v>
      </c>
      <c r="F14" s="126">
        <f>(E14-D14)*100</f>
        <v>-0.75260075951937289</v>
      </c>
      <c r="G14" s="181" t="b">
        <f>D14='[2]Anexo 2. Limites Estratégicos'!$E$14</f>
        <v>1</v>
      </c>
      <c r="H14" s="129">
        <f>IFERROR(H13/$H$10,)</f>
        <v>0.1888292365493652</v>
      </c>
      <c r="I14" s="181" t="b">
        <f t="shared" ref="I14:I26" si="0">H14=E14</f>
        <v>1</v>
      </c>
      <c r="J14" s="100"/>
      <c r="K14" s="378"/>
      <c r="L14" s="379"/>
      <c r="M14" s="185" t="s">
        <v>51</v>
      </c>
      <c r="N14" s="130">
        <f>IFERROR(N13/N8,)</f>
        <v>0.3106805838784415</v>
      </c>
      <c r="O14" s="130">
        <f>IFERROR(O13/O8,)</f>
        <v>0.36932449277263096</v>
      </c>
      <c r="P14" s="126">
        <f>(O14-N14)*100</f>
        <v>5.8643908894189467</v>
      </c>
      <c r="Q14" s="181" t="b">
        <f>N14='[2]Anexo 2. Limites Estratégicos'!$L$14</f>
        <v>1</v>
      </c>
      <c r="R14" s="131">
        <f>R13/R8</f>
        <v>0.36932449277263096</v>
      </c>
      <c r="S14" s="181" t="b">
        <f>R14=O14</f>
        <v>1</v>
      </c>
      <c r="T14" s="99"/>
    </row>
    <row r="15" spans="1:20" ht="36" customHeight="1" x14ac:dyDescent="0.4">
      <c r="A15" s="368"/>
      <c r="B15" s="364" t="s">
        <v>372</v>
      </c>
      <c r="C15" s="125" t="s">
        <v>50</v>
      </c>
      <c r="D15" s="88">
        <v>652911</v>
      </c>
      <c r="E15" s="179">
        <f>'Quadro Geral'!I10+'Quadro Geral'!I23+'Quadro Geral'!I29+'Quadro Geral'!I33+'Quadro Geral'!I40</f>
        <v>773049.59</v>
      </c>
      <c r="F15" s="18">
        <f>IFERROR(E15/D15*100-100,)</f>
        <v>18.400454273247036</v>
      </c>
      <c r="G15" s="181" t="b">
        <f>D15='[2]Anexo 2. Limites Estratégicos'!$E$15</f>
        <v>1</v>
      </c>
      <c r="H15" s="128">
        <f>SUMIF('Quadro Geral'!$E:$E,'Validação de dados'!D2,'Quadro Geral'!$I:$I)</f>
        <v>773049.59</v>
      </c>
      <c r="I15" s="181" t="b">
        <f t="shared" si="0"/>
        <v>1</v>
      </c>
      <c r="J15" s="100"/>
      <c r="K15" s="375" t="s">
        <v>300</v>
      </c>
      <c r="L15" s="375"/>
      <c r="M15" s="125" t="s">
        <v>50</v>
      </c>
      <c r="N15" s="88">
        <v>40000</v>
      </c>
      <c r="O15" s="179" t="e">
        <f>#REF!</f>
        <v>#REF!</v>
      </c>
      <c r="P15" s="18">
        <f>IFERROR(O15/N15*100-100,0)</f>
        <v>0</v>
      </c>
      <c r="Q15" s="181" t="b">
        <f>N15='[2]Anexo 2. Limites Estratégicos'!$L$15</f>
        <v>1</v>
      </c>
      <c r="R15" s="128">
        <f>'Quadro Geral'!I27</f>
        <v>50000</v>
      </c>
      <c r="S15" s="181" t="e">
        <f>R15=O15</f>
        <v>#REF!</v>
      </c>
    </row>
    <row r="16" spans="1:20" ht="36" customHeight="1" x14ac:dyDescent="0.4">
      <c r="A16" s="368"/>
      <c r="B16" s="365"/>
      <c r="C16" s="185" t="s">
        <v>51</v>
      </c>
      <c r="D16" s="127">
        <f>IFERROR(D15/$D$10,0)</f>
        <v>0.15946798488186906</v>
      </c>
      <c r="E16" s="127">
        <f>IFERROR(E15/$E$10,0)</f>
        <v>0.16643284699746572</v>
      </c>
      <c r="F16" s="126">
        <f>(E16-D16)*100</f>
        <v>0.69648621155966595</v>
      </c>
      <c r="G16" s="181" t="b">
        <f>D16='[2]Anexo 2. Limites Estratégicos'!$E$16</f>
        <v>1</v>
      </c>
      <c r="H16" s="129">
        <f>IFERROR(H15/$H$10,)</f>
        <v>0.16643284699746572</v>
      </c>
      <c r="I16" s="181" t="b">
        <f t="shared" si="0"/>
        <v>1</v>
      </c>
      <c r="J16" s="100"/>
      <c r="K16" s="375"/>
      <c r="L16" s="375"/>
      <c r="M16" s="186" t="s">
        <v>51</v>
      </c>
      <c r="N16" s="130">
        <f>IFERROR(N15/N6,)</f>
        <v>2.2356040637670511E-2</v>
      </c>
      <c r="O16" s="130">
        <f>IFERROR(O15/O6,)</f>
        <v>0</v>
      </c>
      <c r="P16" s="126">
        <f>(O16-N16)*100</f>
        <v>-2.2356040637670511</v>
      </c>
      <c r="Q16" s="181" t="b">
        <f>N16='[2]Anexo 2. Limites Estratégicos'!$L$16</f>
        <v>1</v>
      </c>
      <c r="R16" s="131">
        <f>R15/'Anexo 3. Elemento de Despesas'!F81</f>
        <v>2.0032118216292437E-2</v>
      </c>
      <c r="S16" s="181" t="b">
        <f>R16=O16</f>
        <v>0</v>
      </c>
    </row>
    <row r="17" spans="1:17" ht="36" customHeight="1" x14ac:dyDescent="0.4">
      <c r="A17" s="368"/>
      <c r="B17" s="364" t="s">
        <v>373</v>
      </c>
      <c r="C17" s="125" t="s">
        <v>50</v>
      </c>
      <c r="D17" s="88">
        <v>698044.14999999991</v>
      </c>
      <c r="E17" s="179">
        <f>'Quadro Geral'!I8+'Quadro Geral'!I22+'Quadro Geral'!I26</f>
        <v>840835.82</v>
      </c>
      <c r="F17" s="18">
        <f>IFERROR(E17/D17*100-100,)</f>
        <v>20.455965428547756</v>
      </c>
      <c r="G17" s="181" t="b">
        <f>D17='[2]Anexo 2. Limites Estratégicos'!$E$17</f>
        <v>1</v>
      </c>
      <c r="H17" s="128">
        <f>SUMIF('Quadro Geral'!$E:$E,'Validação de dados'!D3,'Quadro Geral'!$I:$I)</f>
        <v>840835.82</v>
      </c>
      <c r="I17" s="181" t="b">
        <f t="shared" si="0"/>
        <v>1</v>
      </c>
      <c r="J17" s="100"/>
      <c r="K17" s="374"/>
      <c r="L17" s="374"/>
      <c r="M17" s="374"/>
      <c r="N17" s="374"/>
      <c r="O17" s="374"/>
      <c r="P17" s="374"/>
      <c r="Q17" s="230"/>
    </row>
    <row r="18" spans="1:17" ht="36" customHeight="1" x14ac:dyDescent="0.4">
      <c r="A18" s="368"/>
      <c r="B18" s="365"/>
      <c r="C18" s="185" t="s">
        <v>51</v>
      </c>
      <c r="D18" s="127">
        <f>IFERROR(D17/$D$10,0)</f>
        <v>0.17049137471887765</v>
      </c>
      <c r="E18" s="127">
        <f>IFERROR(E17/$E$10,0)</f>
        <v>0.18102680758170847</v>
      </c>
      <c r="F18" s="126">
        <f>(E18-D18)*100</f>
        <v>1.0535432862830818</v>
      </c>
      <c r="G18" s="181" t="b">
        <f>D18='[2]Anexo 2. Limites Estratégicos'!$E$18</f>
        <v>1</v>
      </c>
      <c r="H18" s="129">
        <f>IFERROR(H17/$H$10,)</f>
        <v>0.18102680758170847</v>
      </c>
      <c r="I18" s="181" t="b">
        <f t="shared" si="0"/>
        <v>1</v>
      </c>
      <c r="J18" s="100"/>
      <c r="K18" s="380" t="s">
        <v>379</v>
      </c>
      <c r="L18" s="380"/>
      <c r="M18" s="381" t="s">
        <v>380</v>
      </c>
      <c r="N18" s="381"/>
      <c r="O18" s="381"/>
      <c r="P18" s="381"/>
      <c r="Q18" s="197"/>
    </row>
    <row r="19" spans="1:17" ht="36" customHeight="1" x14ac:dyDescent="0.4">
      <c r="A19" s="368"/>
      <c r="B19" s="364" t="s">
        <v>374</v>
      </c>
      <c r="C19" s="125" t="s">
        <v>50</v>
      </c>
      <c r="D19" s="88">
        <v>50807.55</v>
      </c>
      <c r="E19" s="89">
        <f>'Quadro Geral'!I24</f>
        <v>100000</v>
      </c>
      <c r="F19" s="18">
        <f>IFERROR(E19/D19*100-100,)</f>
        <v>96.821141739761117</v>
      </c>
      <c r="G19" s="181" t="b">
        <f>D19='[2]Anexo 2. Limites Estratégicos'!$E$19</f>
        <v>1</v>
      </c>
      <c r="H19" s="128">
        <f>'Quadro Geral'!I24</f>
        <v>100000</v>
      </c>
      <c r="I19" s="181" t="b">
        <f t="shared" si="0"/>
        <v>1</v>
      </c>
      <c r="J19" s="100"/>
      <c r="K19" s="380"/>
      <c r="L19" s="380"/>
      <c r="M19" s="381"/>
      <c r="N19" s="381"/>
      <c r="O19" s="381"/>
      <c r="P19" s="381"/>
      <c r="Q19" s="197"/>
    </row>
    <row r="20" spans="1:17" ht="36" customHeight="1" x14ac:dyDescent="0.4">
      <c r="A20" s="368"/>
      <c r="B20" s="365"/>
      <c r="C20" s="185" t="s">
        <v>51</v>
      </c>
      <c r="D20" s="127">
        <f>IFERROR(D19/$D$10,0)</f>
        <v>1.2409314003416709E-2</v>
      </c>
      <c r="E20" s="127">
        <f>IFERROR(E19/$E$10,0)</f>
        <v>2.152938817255769E-2</v>
      </c>
      <c r="F20" s="126">
        <f>(E20-D20)*100</f>
        <v>0.91200741691409815</v>
      </c>
      <c r="G20" s="181" t="b">
        <f>D20='[2]Anexo 2. Limites Estratégicos'!$E$20</f>
        <v>1</v>
      </c>
      <c r="H20" s="129">
        <f>IFERROR(H19/$H$10,)</f>
        <v>2.152938817255769E-2</v>
      </c>
      <c r="I20" s="181" t="b">
        <f t="shared" si="0"/>
        <v>1</v>
      </c>
      <c r="J20" s="100"/>
      <c r="K20" s="380"/>
      <c r="L20" s="380"/>
      <c r="M20" s="381"/>
      <c r="N20" s="381"/>
      <c r="O20" s="381"/>
      <c r="P20" s="381"/>
      <c r="Q20" s="197"/>
    </row>
    <row r="21" spans="1:17" ht="36" customHeight="1" x14ac:dyDescent="0.4">
      <c r="A21" s="368"/>
      <c r="B21" s="364" t="s">
        <v>375</v>
      </c>
      <c r="C21" s="125" t="s">
        <v>50</v>
      </c>
      <c r="D21" s="88">
        <v>945092.49</v>
      </c>
      <c r="E21" s="89">
        <f>'Quadro Geral'!I10+'Quadro Geral'!I11+'Quadro Geral'!I14+'Quadro Geral'!I18+'Quadro Geral'!I23+'Quadro Geral'!I29+'Quadro Geral'!I33+'Quadro Geral'!I40</f>
        <v>1151166.8699999999</v>
      </c>
      <c r="F21" s="18">
        <f>IFERROR(E21/D21*100-100,)</f>
        <v>21.804678608757101</v>
      </c>
      <c r="G21" s="181" t="b">
        <f>D21='[2]Anexo 2. Limites Estratégicos'!$E$21</f>
        <v>1</v>
      </c>
      <c r="H21" s="128">
        <f>SUMIF('Quadro Geral'!$E:$E,#REF!,'Quadro Geral'!$I:$I)+SUMIF('Quadro Geral'!$E:$E,#REF!,'Quadro Geral'!$I:$I)+SUMIF('Quadro Geral'!$E:$E,#REF!,'Quadro Geral'!$I:$I)</f>
        <v>0</v>
      </c>
      <c r="I21" s="181" t="b">
        <f t="shared" si="0"/>
        <v>0</v>
      </c>
      <c r="J21" s="100"/>
      <c r="K21" s="380"/>
      <c r="L21" s="380"/>
      <c r="M21" s="381"/>
      <c r="N21" s="381"/>
      <c r="O21" s="381"/>
      <c r="P21" s="381"/>
      <c r="Q21" s="197"/>
    </row>
    <row r="22" spans="1:17" ht="36" customHeight="1" x14ac:dyDescent="0.4">
      <c r="A22" s="368"/>
      <c r="B22" s="365"/>
      <c r="C22" s="185" t="s">
        <v>51</v>
      </c>
      <c r="D22" s="127">
        <f>IFERROR(D21/$D$10,0)</f>
        <v>0.23083084050856545</v>
      </c>
      <c r="E22" s="127">
        <f>IFERROR(E21/$E$10,0)</f>
        <v>0.24783918395618254</v>
      </c>
      <c r="F22" s="126">
        <f>(E22-D22)*100</f>
        <v>1.7008343447617091</v>
      </c>
      <c r="G22" s="181" t="b">
        <f>D22='[2]Anexo 2. Limites Estratégicos'!$E$22</f>
        <v>1</v>
      </c>
      <c r="H22" s="129">
        <f>IFERROR(H21/$H$10,)</f>
        <v>0</v>
      </c>
      <c r="I22" s="181" t="b">
        <f t="shared" si="0"/>
        <v>0</v>
      </c>
      <c r="J22" s="100"/>
      <c r="K22" s="380"/>
      <c r="L22" s="380"/>
      <c r="M22" s="381"/>
      <c r="N22" s="381"/>
      <c r="O22" s="381"/>
      <c r="P22" s="381"/>
      <c r="Q22" s="197"/>
    </row>
    <row r="23" spans="1:17" ht="36" customHeight="1" x14ac:dyDescent="0.4">
      <c r="A23" s="368"/>
      <c r="B23" s="364" t="s">
        <v>376</v>
      </c>
      <c r="C23" s="125" t="s">
        <v>50</v>
      </c>
      <c r="D23" s="88">
        <v>250357.65</v>
      </c>
      <c r="E23" s="89">
        <f>'Quadro Geral'!I28</f>
        <v>268400</v>
      </c>
      <c r="F23" s="18">
        <f>IFERROR(E23/D23*100-100,)</f>
        <v>7.2066301948432709</v>
      </c>
      <c r="G23" s="181" t="b">
        <f>D23='[2]Anexo 2. Limites Estratégicos'!$E$23</f>
        <v>1</v>
      </c>
      <c r="H23" s="128">
        <f>'Quadro Geral'!I28</f>
        <v>268400</v>
      </c>
      <c r="I23" s="181" t="b">
        <f t="shared" si="0"/>
        <v>1</v>
      </c>
      <c r="J23" s="100"/>
      <c r="K23" s="380"/>
      <c r="L23" s="380"/>
      <c r="M23" s="381"/>
      <c r="N23" s="381"/>
      <c r="O23" s="381"/>
      <c r="P23" s="381"/>
      <c r="Q23" s="197"/>
    </row>
    <row r="24" spans="1:17" ht="36" customHeight="1" x14ac:dyDescent="0.4">
      <c r="A24" s="368"/>
      <c r="B24" s="365"/>
      <c r="C24" s="185" t="s">
        <v>51</v>
      </c>
      <c r="D24" s="127">
        <f>IFERROR(D23/$D$10,0)</f>
        <v>6.114773674399767E-2</v>
      </c>
      <c r="E24" s="127">
        <f>IFERROR(E23/$E$10,0)</f>
        <v>5.7784877855144842E-2</v>
      </c>
      <c r="F24" s="126">
        <f>(E24-D24)*100</f>
        <v>-0.33628588888528277</v>
      </c>
      <c r="G24" s="181" t="b">
        <f>D24='[2]Anexo 2. Limites Estratégicos'!$E$24</f>
        <v>1</v>
      </c>
      <c r="H24" s="129">
        <f>IFERROR(H23/$H$10,)</f>
        <v>5.7784877855144842E-2</v>
      </c>
      <c r="I24" s="181" t="b">
        <f t="shared" si="0"/>
        <v>1</v>
      </c>
      <c r="J24" s="100"/>
      <c r="K24" s="100"/>
      <c r="L24" s="100"/>
      <c r="M24" s="100"/>
      <c r="N24" s="100"/>
      <c r="O24" s="100"/>
      <c r="P24" s="100"/>
      <c r="Q24" s="100"/>
    </row>
    <row r="25" spans="1:17" ht="36" customHeight="1" x14ac:dyDescent="0.4">
      <c r="A25" s="368"/>
      <c r="B25" s="364" t="s">
        <v>377</v>
      </c>
      <c r="C25" s="125" t="s">
        <v>50</v>
      </c>
      <c r="D25" s="88">
        <f>'Anexo 1. Fontes e Aplicações'!C33</f>
        <v>41306.949999999997</v>
      </c>
      <c r="E25" s="88">
        <f>'Quadro Geral'!I35</f>
        <v>41000</v>
      </c>
      <c r="F25" s="18">
        <f>IFERROR(E25/D25*100-100,)</f>
        <v>-0.7430952902598591</v>
      </c>
      <c r="G25" s="181" t="b">
        <f>D25='[2]Anexo 2. Limites Estratégicos'!$E$25</f>
        <v>1</v>
      </c>
      <c r="H25" s="128">
        <f>'Quadro Geral'!I35</f>
        <v>41000</v>
      </c>
      <c r="I25" s="181" t="b">
        <f t="shared" si="0"/>
        <v>1</v>
      </c>
      <c r="J25" s="100"/>
      <c r="K25" s="100"/>
      <c r="L25" s="100"/>
      <c r="M25" s="100"/>
      <c r="N25" s="100"/>
      <c r="O25" s="100"/>
      <c r="P25" s="100"/>
      <c r="Q25" s="100"/>
    </row>
    <row r="26" spans="1:17" ht="36" customHeight="1" x14ac:dyDescent="0.4">
      <c r="A26" s="368"/>
      <c r="B26" s="365"/>
      <c r="C26" s="185" t="s">
        <v>51</v>
      </c>
      <c r="D26" s="127">
        <f>IFERROR(D25/$D$10,0)</f>
        <v>1.0088872875653987E-2</v>
      </c>
      <c r="E26" s="127">
        <f>IFERROR(E25/$E$10,0)</f>
        <v>8.8270491507486532E-3</v>
      </c>
      <c r="F26" s="126">
        <f>(E26-D26)*100</f>
        <v>-0.12618237249053341</v>
      </c>
      <c r="G26" s="181" t="b">
        <f>D26='[2]Anexo 2. Limites Estratégicos'!$E$26</f>
        <v>1</v>
      </c>
      <c r="H26" s="129">
        <f>IFERROR(H25/$H$10,)</f>
        <v>8.8270491507486532E-3</v>
      </c>
      <c r="I26" s="181" t="b">
        <f t="shared" si="0"/>
        <v>1</v>
      </c>
      <c r="J26" s="100"/>
      <c r="K26" s="100"/>
      <c r="L26" s="100"/>
      <c r="M26" s="100"/>
      <c r="N26" s="100"/>
      <c r="O26" s="100"/>
      <c r="P26" s="100"/>
      <c r="Q26" s="100"/>
    </row>
    <row r="27" spans="1:17" x14ac:dyDescent="0.4">
      <c r="B27" s="64"/>
      <c r="K27" s="100"/>
      <c r="L27" s="100"/>
      <c r="M27" s="100"/>
      <c r="N27" s="100"/>
      <c r="O27" s="100"/>
      <c r="P27" s="100"/>
      <c r="Q27" s="100"/>
    </row>
    <row r="28" spans="1:17" x14ac:dyDescent="0.4">
      <c r="A28" s="266" t="s">
        <v>353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32"/>
    </row>
    <row r="29" spans="1:17" ht="101.25" customHeight="1" x14ac:dyDescent="0.4">
      <c r="A29" s="319" t="s">
        <v>499</v>
      </c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231"/>
    </row>
  </sheetData>
  <sheetProtection selectLockedCells="1"/>
  <mergeCells count="33">
    <mergeCell ref="A29:P29"/>
    <mergeCell ref="A12:A26"/>
    <mergeCell ref="K15:L16"/>
    <mergeCell ref="B17:B18"/>
    <mergeCell ref="B12:C12"/>
    <mergeCell ref="K12:M12"/>
    <mergeCell ref="B13:B14"/>
    <mergeCell ref="K13:L14"/>
    <mergeCell ref="B15:B16"/>
    <mergeCell ref="K18:L23"/>
    <mergeCell ref="M18:P23"/>
    <mergeCell ref="B23:B24"/>
    <mergeCell ref="B10:C10"/>
    <mergeCell ref="A28:P28"/>
    <mergeCell ref="B25:B26"/>
    <mergeCell ref="K17:P17"/>
    <mergeCell ref="B19:B20"/>
    <mergeCell ref="K9:L9"/>
    <mergeCell ref="B21:B22"/>
    <mergeCell ref="A1:P1"/>
    <mergeCell ref="A5:A10"/>
    <mergeCell ref="B5:C5"/>
    <mergeCell ref="K5:K8"/>
    <mergeCell ref="L5:M5"/>
    <mergeCell ref="B6:C6"/>
    <mergeCell ref="L6:M6"/>
    <mergeCell ref="B7:C7"/>
    <mergeCell ref="L7:M7"/>
    <mergeCell ref="B8:C8"/>
    <mergeCell ref="L8:M8"/>
    <mergeCell ref="B9:C9"/>
    <mergeCell ref="A3:P3"/>
    <mergeCell ref="A2:P2"/>
  </mergeCells>
  <phoneticPr fontId="21" type="noConversion"/>
  <conditionalFormatting sqref="N9:O9">
    <cfRule type="cellIs" dxfId="14" priority="13" operator="equal">
      <formula>TRUE</formula>
    </cfRule>
  </conditionalFormatting>
  <conditionalFormatting sqref="R6">
    <cfRule type="cellIs" dxfId="13" priority="12" operator="equal">
      <formula>TRUE</formula>
    </cfRule>
  </conditionalFormatting>
  <conditionalFormatting sqref="G6:G10">
    <cfRule type="cellIs" dxfId="12" priority="11" operator="equal">
      <formula>TRUE</formula>
    </cfRule>
  </conditionalFormatting>
  <conditionalFormatting sqref="G13:G26">
    <cfRule type="cellIs" dxfId="11" priority="10" operator="equal">
      <formula>TRUE</formula>
    </cfRule>
  </conditionalFormatting>
  <conditionalFormatting sqref="Q13:Q16">
    <cfRule type="cellIs" dxfId="10" priority="9" operator="equal">
      <formula>TRUE</formula>
    </cfRule>
  </conditionalFormatting>
  <conditionalFormatting sqref="Q6:Q8">
    <cfRule type="cellIs" dxfId="9" priority="8" operator="equal">
      <formula>TRUE</formula>
    </cfRule>
  </conditionalFormatting>
  <conditionalFormatting sqref="S7:S8">
    <cfRule type="cellIs" dxfId="8" priority="7" operator="equal">
      <formula>TRUE</formula>
    </cfRule>
  </conditionalFormatting>
  <conditionalFormatting sqref="S13:S16">
    <cfRule type="cellIs" dxfId="7" priority="6" operator="equal">
      <formula>TRUE</formula>
    </cfRule>
  </conditionalFormatting>
  <conditionalFormatting sqref="I6:I10">
    <cfRule type="cellIs" dxfId="6" priority="5" operator="equal">
      <formula>TRUE</formula>
    </cfRule>
  </conditionalFormatting>
  <conditionalFormatting sqref="I13:I26">
    <cfRule type="cellIs" dxfId="5" priority="4" operator="equal">
      <formula>TRUE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8">
    <tabColor rgb="FFFF6900"/>
  </sheetPr>
  <dimension ref="A1:AQ86"/>
  <sheetViews>
    <sheetView showGridLines="0" view="pageBreakPreview" zoomScale="70" zoomScaleNormal="90" zoomScaleSheetLayoutView="70" workbookViewId="0">
      <pane ySplit="6" topLeftCell="A16" activePane="bottomLeft" state="frozen"/>
      <selection pane="bottomLeft" activeCell="V14" sqref="V14"/>
    </sheetView>
  </sheetViews>
  <sheetFormatPr defaultColWidth="16.42578125" defaultRowHeight="26.25" zeroHeight="1" x14ac:dyDescent="0.4"/>
  <cols>
    <col min="1" max="2" width="16.5703125" style="55" customWidth="1"/>
    <col min="3" max="3" width="50.28515625" style="55" customWidth="1"/>
    <col min="4" max="4" width="16.85546875" style="55" customWidth="1"/>
    <col min="5" max="5" width="5.85546875" style="55" customWidth="1"/>
    <col min="6" max="10" width="15.28515625" style="55" customWidth="1"/>
    <col min="11" max="11" width="20" style="55" bestFit="1" customWidth="1"/>
    <col min="12" max="12" width="16.7109375" style="55" customWidth="1"/>
    <col min="13" max="16" width="15.28515625" style="55" customWidth="1"/>
    <col min="17" max="17" width="19.28515625" style="55" bestFit="1" customWidth="1"/>
    <col min="18" max="18" width="11.85546875" style="55" customWidth="1"/>
    <col min="19" max="19" width="17.5703125" style="55" customWidth="1"/>
    <col min="20" max="21" width="16.42578125" style="55" customWidth="1"/>
    <col min="22" max="22" width="26.7109375" style="74" customWidth="1"/>
    <col min="23" max="42" width="16.42578125" style="74" customWidth="1"/>
    <col min="43" max="16383" width="16.42578125" style="74"/>
    <col min="16384" max="16384" width="10" style="74" customWidth="1"/>
  </cols>
  <sheetData>
    <row r="1" spans="1:43" s="173" customFormat="1" x14ac:dyDescent="0.25">
      <c r="A1" s="169" t="s">
        <v>225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70"/>
      <c r="T1" s="170"/>
      <c r="U1" s="171"/>
      <c r="V1" s="172"/>
    </row>
    <row r="2" spans="1:43" x14ac:dyDescent="0.4">
      <c r="A2" s="266" t="str">
        <f>'Indicadores e Metas'!A2:F2</f>
        <v xml:space="preserve">CAU/BA  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U2" s="101"/>
      <c r="V2" s="102"/>
    </row>
    <row r="3" spans="1:43" x14ac:dyDescent="0.4">
      <c r="A3" s="394" t="s">
        <v>381</v>
      </c>
      <c r="B3" s="395"/>
      <c r="C3" s="395"/>
      <c r="D3" s="395"/>
      <c r="E3" s="395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2"/>
      <c r="U3" s="101"/>
      <c r="V3" s="102"/>
    </row>
    <row r="4" spans="1:43" x14ac:dyDescent="0.4">
      <c r="A4" s="103"/>
      <c r="B4" s="103"/>
      <c r="C4" s="103"/>
      <c r="D4" s="103"/>
      <c r="E4" s="103"/>
      <c r="F4" s="103"/>
      <c r="G4" s="103"/>
    </row>
    <row r="5" spans="1:43" s="108" customFormat="1" ht="25.5" customHeight="1" x14ac:dyDescent="0.25">
      <c r="A5" s="268" t="s">
        <v>4</v>
      </c>
      <c r="B5" s="396" t="str">
        <f>'Quadro Geral'!B6</f>
        <v>P/A/ PE</v>
      </c>
      <c r="C5" s="392" t="s">
        <v>36</v>
      </c>
      <c r="D5" s="392" t="s">
        <v>355</v>
      </c>
      <c r="E5" s="104"/>
      <c r="F5" s="393" t="s">
        <v>1</v>
      </c>
      <c r="G5" s="393"/>
      <c r="H5" s="390" t="s">
        <v>37</v>
      </c>
      <c r="I5" s="385" t="s">
        <v>38</v>
      </c>
      <c r="J5" s="386"/>
      <c r="K5" s="386"/>
      <c r="L5" s="387" t="s">
        <v>138</v>
      </c>
      <c r="M5" s="387" t="s">
        <v>161</v>
      </c>
      <c r="N5" s="387" t="s">
        <v>39</v>
      </c>
      <c r="O5" s="387" t="s">
        <v>40</v>
      </c>
      <c r="P5" s="392" t="s">
        <v>2</v>
      </c>
      <c r="Q5" s="393" t="s">
        <v>0</v>
      </c>
      <c r="R5" s="393" t="s">
        <v>41</v>
      </c>
      <c r="S5" s="382"/>
      <c r="T5" s="105"/>
      <c r="U5" s="106"/>
      <c r="V5" s="107"/>
    </row>
    <row r="6" spans="1:43" s="108" customFormat="1" ht="42" customHeight="1" x14ac:dyDescent="0.25">
      <c r="A6" s="268"/>
      <c r="B6" s="397"/>
      <c r="C6" s="392"/>
      <c r="D6" s="392"/>
      <c r="E6" s="104"/>
      <c r="F6" s="174" t="s">
        <v>64</v>
      </c>
      <c r="G6" s="174" t="s">
        <v>42</v>
      </c>
      <c r="H6" s="391"/>
      <c r="I6" s="174" t="s">
        <v>42</v>
      </c>
      <c r="J6" s="174" t="s">
        <v>43</v>
      </c>
      <c r="K6" s="174" t="s">
        <v>44</v>
      </c>
      <c r="L6" s="387"/>
      <c r="M6" s="387"/>
      <c r="N6" s="387"/>
      <c r="O6" s="387"/>
      <c r="P6" s="392"/>
      <c r="Q6" s="393"/>
      <c r="R6" s="393"/>
      <c r="S6" s="382"/>
      <c r="T6" s="143"/>
      <c r="U6" s="144"/>
      <c r="V6" s="144"/>
      <c r="W6" s="143"/>
      <c r="X6" s="143"/>
      <c r="Y6" s="143"/>
      <c r="Z6" s="143"/>
      <c r="AA6" s="143"/>
      <c r="AB6" s="143"/>
    </row>
    <row r="7" spans="1:43" ht="31.5" x14ac:dyDescent="0.4">
      <c r="A7" s="118" t="str">
        <f>'Quadro Geral'!A8</f>
        <v>Presidência</v>
      </c>
      <c r="B7" s="118" t="str">
        <f>'Quadro Geral'!B8</f>
        <v>A</v>
      </c>
      <c r="C7" s="119" t="str">
        <f>'Quadro Geral'!C8</f>
        <v>Articulação Institucional e fomento de parcerias estratégicas.</v>
      </c>
      <c r="D7" s="120">
        <f>'Quadro Geral'!I8</f>
        <v>250384.84</v>
      </c>
      <c r="E7" s="104"/>
      <c r="F7" s="109">
        <v>93384.84</v>
      </c>
      <c r="G7" s="109"/>
      <c r="H7" s="109"/>
      <c r="I7" s="109">
        <v>60000</v>
      </c>
      <c r="J7" s="109">
        <v>40000</v>
      </c>
      <c r="K7" s="109">
        <f>17000+40000</f>
        <v>57000</v>
      </c>
      <c r="L7" s="109"/>
      <c r="M7" s="109"/>
      <c r="N7" s="109"/>
      <c r="O7" s="121">
        <f>SUM(F7:N7)</f>
        <v>250384.84</v>
      </c>
      <c r="P7" s="109"/>
      <c r="Q7" s="121">
        <f>O7+P7</f>
        <v>250384.84</v>
      </c>
      <c r="R7" s="122">
        <f t="shared" ref="R7:R70" si="0">IFERROR(Q7/$Q$81*100,0)</f>
        <v>2.2130800906652826</v>
      </c>
      <c r="S7" s="123"/>
      <c r="T7" s="110"/>
      <c r="V7" s="55"/>
    </row>
    <row r="8" spans="1:43" x14ac:dyDescent="0.4">
      <c r="A8" s="118" t="str">
        <f>'Quadro Geral'!A9</f>
        <v>Direção Geral</v>
      </c>
      <c r="B8" s="118" t="str">
        <f>'Quadro Geral'!B9</f>
        <v>A</v>
      </c>
      <c r="C8" s="119" t="str">
        <f>'Quadro Geral'!C9</f>
        <v>Manutenção Institucional</v>
      </c>
      <c r="D8" s="120">
        <f>'Quadro Geral'!I9</f>
        <v>875492.81</v>
      </c>
      <c r="E8" s="104"/>
      <c r="F8" s="109">
        <v>308505.21000000002</v>
      </c>
      <c r="G8" s="109"/>
      <c r="H8" s="109">
        <v>62000</v>
      </c>
      <c r="I8" s="109"/>
      <c r="J8" s="109"/>
      <c r="K8" s="109">
        <f>329387.6+70600</f>
        <v>399987.6</v>
      </c>
      <c r="L8" s="109"/>
      <c r="M8" s="109"/>
      <c r="N8" s="109">
        <v>105000</v>
      </c>
      <c r="O8" s="121">
        <f t="shared" ref="O8:O71" si="1">SUM(F8:N8)</f>
        <v>875492.81</v>
      </c>
      <c r="P8" s="109"/>
      <c r="Q8" s="121">
        <f t="shared" ref="Q8:Q71" si="2">O8+P8</f>
        <v>875492.81</v>
      </c>
      <c r="R8" s="122">
        <f t="shared" si="0"/>
        <v>7.7382309061986465</v>
      </c>
      <c r="S8" s="123"/>
      <c r="T8" s="110"/>
      <c r="V8" s="55"/>
    </row>
    <row r="9" spans="1:43" ht="31.5" x14ac:dyDescent="0.4">
      <c r="A9" s="118" t="str">
        <f>'Quadro Geral'!A10</f>
        <v>Gerência Técnica</v>
      </c>
      <c r="B9" s="118" t="str">
        <f>'Quadro Geral'!B10</f>
        <v>A</v>
      </c>
      <c r="C9" s="119" t="str">
        <f>'Quadro Geral'!C10</f>
        <v>Orientação, esclarecimento e atendimento de demandas de profissionais e empresas</v>
      </c>
      <c r="D9" s="120">
        <f>'Quadro Geral'!I10</f>
        <v>237848.5</v>
      </c>
      <c r="E9" s="104"/>
      <c r="F9" s="109">
        <v>224710.9</v>
      </c>
      <c r="G9" s="109"/>
      <c r="H9" s="109"/>
      <c r="I9" s="109"/>
      <c r="J9" s="109"/>
      <c r="K9" s="109">
        <v>13137.6</v>
      </c>
      <c r="L9" s="109"/>
      <c r="M9" s="109"/>
      <c r="N9" s="109"/>
      <c r="O9" s="121">
        <f t="shared" si="1"/>
        <v>237848.5</v>
      </c>
      <c r="P9" s="109"/>
      <c r="Q9" s="121">
        <f t="shared" si="2"/>
        <v>237848.5</v>
      </c>
      <c r="R9" s="122">
        <f t="shared" si="0"/>
        <v>2.1022749617932197</v>
      </c>
      <c r="S9" s="123"/>
      <c r="T9" s="110"/>
      <c r="V9" s="55"/>
    </row>
    <row r="10" spans="1:43" ht="31.5" x14ac:dyDescent="0.4">
      <c r="A10" s="118" t="str">
        <f>'Quadro Geral'!A11</f>
        <v>Gerência de Operações</v>
      </c>
      <c r="B10" s="118" t="str">
        <f>'Quadro Geral'!B11</f>
        <v>A</v>
      </c>
      <c r="C10" s="119" t="str">
        <f>'Quadro Geral'!C11</f>
        <v>Operacionalização dos processos éticos e de multa/fiscalização</v>
      </c>
      <c r="D10" s="120">
        <f>'Quadro Geral'!I11</f>
        <v>168124.89</v>
      </c>
      <c r="E10" s="104"/>
      <c r="F10" s="109">
        <v>154987.29</v>
      </c>
      <c r="G10" s="109"/>
      <c r="H10" s="109"/>
      <c r="I10" s="109"/>
      <c r="J10" s="109"/>
      <c r="K10" s="109">
        <v>13137.6</v>
      </c>
      <c r="L10" s="109"/>
      <c r="M10" s="109"/>
      <c r="N10" s="109"/>
      <c r="O10" s="121">
        <f t="shared" si="1"/>
        <v>168124.89</v>
      </c>
      <c r="P10" s="109"/>
      <c r="Q10" s="121">
        <f t="shared" si="2"/>
        <v>168124.89</v>
      </c>
      <c r="R10" s="122">
        <f t="shared" si="0"/>
        <v>1.4860078861175887</v>
      </c>
      <c r="S10" s="123"/>
      <c r="T10" s="110"/>
      <c r="V10" s="55"/>
    </row>
    <row r="11" spans="1:43" ht="31.5" x14ac:dyDescent="0.4">
      <c r="A11" s="118" t="str">
        <f>'Quadro Geral'!A12</f>
        <v>Gerência Adm. Financeira</v>
      </c>
      <c r="B11" s="118" t="str">
        <f>'Quadro Geral'!B12</f>
        <v>A</v>
      </c>
      <c r="C11" s="119" t="str">
        <f>'Quadro Geral'!C12</f>
        <v>Manutenção Financeira</v>
      </c>
      <c r="D11" s="120">
        <f>'Quadro Geral'!I12</f>
        <v>427503.10201395774</v>
      </c>
      <c r="E11" s="104"/>
      <c r="F11" s="109">
        <v>294773.05</v>
      </c>
      <c r="G11" s="109"/>
      <c r="H11" s="109"/>
      <c r="I11" s="109"/>
      <c r="J11" s="109"/>
      <c r="K11" s="236">
        <f>85767.83+13137.6+31824.62+0.002013959+'Anexo 1. Fontes e Aplicações'!J40</f>
        <v>130730.05201395773</v>
      </c>
      <c r="L11" s="109"/>
      <c r="M11" s="109"/>
      <c r="N11" s="109">
        <v>2000</v>
      </c>
      <c r="O11" s="121">
        <f t="shared" si="1"/>
        <v>427503.10201395769</v>
      </c>
      <c r="P11" s="109"/>
      <c r="Q11" s="121">
        <f t="shared" si="2"/>
        <v>427503.10201395769</v>
      </c>
      <c r="R11" s="122">
        <f t="shared" si="0"/>
        <v>3.778577823500572</v>
      </c>
      <c r="S11" s="123"/>
      <c r="T11" s="110"/>
      <c r="V11" s="55"/>
      <c r="AQ11" s="144"/>
    </row>
    <row r="12" spans="1:43" ht="31.5" x14ac:dyDescent="0.4">
      <c r="A12" s="118" t="str">
        <f>'Quadro Geral'!A13</f>
        <v>Assessoria Jurídica</v>
      </c>
      <c r="B12" s="118" t="str">
        <f>'Quadro Geral'!B13</f>
        <v>A</v>
      </c>
      <c r="C12" s="119" t="str">
        <f>'Quadro Geral'!C13</f>
        <v>Consultoria e Assessoria Jurídica</v>
      </c>
      <c r="D12" s="120">
        <f>'Quadro Geral'!I13</f>
        <v>266370.38</v>
      </c>
      <c r="E12" s="104"/>
      <c r="F12" s="109">
        <v>248232.78</v>
      </c>
      <c r="G12" s="109"/>
      <c r="H12" s="109"/>
      <c r="I12" s="109"/>
      <c r="J12" s="109"/>
      <c r="K12" s="109">
        <v>13137.6</v>
      </c>
      <c r="L12" s="109"/>
      <c r="M12" s="109"/>
      <c r="N12" s="109">
        <v>5000</v>
      </c>
      <c r="O12" s="121">
        <f t="shared" si="1"/>
        <v>266370.38</v>
      </c>
      <c r="P12" s="109"/>
      <c r="Q12" s="121">
        <f t="shared" si="2"/>
        <v>266370.38</v>
      </c>
      <c r="R12" s="122">
        <f t="shared" si="0"/>
        <v>2.3543717132432853</v>
      </c>
      <c r="S12" s="123"/>
      <c r="T12" s="110"/>
      <c r="V12" s="55"/>
    </row>
    <row r="13" spans="1:43" ht="31.5" x14ac:dyDescent="0.4">
      <c r="A13" s="118" t="str">
        <f>'Quadro Geral'!A14</f>
        <v>Comissão de Ética</v>
      </c>
      <c r="B13" s="118" t="str">
        <f>'Quadro Geral'!B14</f>
        <v>A</v>
      </c>
      <c r="C13" s="119" t="str">
        <f>'Quadro Geral'!C14</f>
        <v>Operacionalização e processamento dos  processos éticos</v>
      </c>
      <c r="D13" s="120">
        <f>'Quadro Geral'!I14</f>
        <v>169992.39</v>
      </c>
      <c r="E13" s="104"/>
      <c r="F13" s="109">
        <v>86992.39</v>
      </c>
      <c r="G13" s="109"/>
      <c r="H13" s="109"/>
      <c r="I13" s="109">
        <v>34000</v>
      </c>
      <c r="J13" s="109">
        <v>34000</v>
      </c>
      <c r="K13" s="109">
        <v>15000</v>
      </c>
      <c r="L13" s="109"/>
      <c r="M13" s="109"/>
      <c r="N13" s="109"/>
      <c r="O13" s="121">
        <f t="shared" si="1"/>
        <v>169992.39</v>
      </c>
      <c r="P13" s="109"/>
      <c r="Q13" s="121">
        <f t="shared" si="2"/>
        <v>169992.39</v>
      </c>
      <c r="R13" s="122">
        <f t="shared" si="0"/>
        <v>1.5025141852582133</v>
      </c>
      <c r="S13" s="123"/>
      <c r="T13" s="110"/>
      <c r="V13" s="55"/>
    </row>
    <row r="14" spans="1:43" ht="47.25" x14ac:dyDescent="0.4">
      <c r="A14" s="118" t="str">
        <f>'Quadro Geral'!A15</f>
        <v>Comissão de Atos Administrativos</v>
      </c>
      <c r="B14" s="118" t="str">
        <f>'Quadro Geral'!B15</f>
        <v>A</v>
      </c>
      <c r="C14" s="119" t="str">
        <f>'Quadro Geral'!C15</f>
        <v>Assessoramento organizacional-institucional</v>
      </c>
      <c r="D14" s="120">
        <f>'Quadro Geral'!I15</f>
        <v>35000</v>
      </c>
      <c r="E14" s="104"/>
      <c r="F14" s="109"/>
      <c r="G14" s="109"/>
      <c r="H14" s="109"/>
      <c r="I14" s="109">
        <v>10000</v>
      </c>
      <c r="J14" s="109">
        <v>10000</v>
      </c>
      <c r="K14" s="109">
        <v>15000</v>
      </c>
      <c r="L14" s="109"/>
      <c r="M14" s="109"/>
      <c r="N14" s="109"/>
      <c r="O14" s="121">
        <f t="shared" si="1"/>
        <v>35000</v>
      </c>
      <c r="P14" s="109"/>
      <c r="Q14" s="121">
        <f t="shared" si="2"/>
        <v>35000</v>
      </c>
      <c r="R14" s="122">
        <f t="shared" si="0"/>
        <v>0.30935500397422183</v>
      </c>
      <c r="S14" s="123"/>
      <c r="T14" s="110"/>
      <c r="V14" s="55"/>
    </row>
    <row r="15" spans="1:43" ht="63" x14ac:dyDescent="0.4">
      <c r="A15" s="118" t="str">
        <f>'Quadro Geral'!A16</f>
        <v>Comissão de Exercício Profissional e Fiscalização</v>
      </c>
      <c r="B15" s="118" t="str">
        <f>'Quadro Geral'!B16</f>
        <v>A</v>
      </c>
      <c r="C15" s="119" t="str">
        <f>'Quadro Geral'!C16</f>
        <v>Operacionalização da Fiscalização e fomento da valorização profissional</v>
      </c>
      <c r="D15" s="120">
        <f>'Quadro Geral'!I16</f>
        <v>50000</v>
      </c>
      <c r="E15" s="104"/>
      <c r="F15" s="109"/>
      <c r="G15" s="109"/>
      <c r="H15" s="109"/>
      <c r="I15" s="109">
        <v>20000</v>
      </c>
      <c r="J15" s="109">
        <v>15000</v>
      </c>
      <c r="K15" s="109">
        <v>15000</v>
      </c>
      <c r="L15" s="109"/>
      <c r="M15" s="109"/>
      <c r="N15" s="109"/>
      <c r="O15" s="121">
        <f t="shared" si="1"/>
        <v>50000</v>
      </c>
      <c r="P15" s="109"/>
      <c r="Q15" s="121">
        <f t="shared" si="2"/>
        <v>50000</v>
      </c>
      <c r="R15" s="122">
        <f t="shared" si="0"/>
        <v>0.44193571996317405</v>
      </c>
      <c r="S15" s="123"/>
      <c r="T15" s="110"/>
      <c r="V15" s="55"/>
    </row>
    <row r="16" spans="1:43" ht="47.25" x14ac:dyDescent="0.4">
      <c r="A16" s="118" t="str">
        <f>'Quadro Geral'!A17</f>
        <v>Comissão de Planejamento e Finanças</v>
      </c>
      <c r="B16" s="118" t="str">
        <f>'Quadro Geral'!B17</f>
        <v>A</v>
      </c>
      <c r="C16" s="119" t="str">
        <f>'Quadro Geral'!C17</f>
        <v>Operacionalização, Planejamento e Controle do CAU</v>
      </c>
      <c r="D16" s="120">
        <f>'Quadro Geral'!I17</f>
        <v>35000</v>
      </c>
      <c r="E16" s="104"/>
      <c r="F16" s="109"/>
      <c r="G16" s="109"/>
      <c r="H16" s="109"/>
      <c r="I16" s="109">
        <v>10000</v>
      </c>
      <c r="J16" s="109">
        <v>10000</v>
      </c>
      <c r="K16" s="109">
        <v>15000</v>
      </c>
      <c r="L16" s="109"/>
      <c r="M16" s="109"/>
      <c r="N16" s="109"/>
      <c r="O16" s="121">
        <f t="shared" si="1"/>
        <v>35000</v>
      </c>
      <c r="P16" s="109"/>
      <c r="Q16" s="121">
        <f t="shared" si="2"/>
        <v>35000</v>
      </c>
      <c r="R16" s="122">
        <f t="shared" si="0"/>
        <v>0.30935500397422183</v>
      </c>
      <c r="S16" s="123"/>
      <c r="T16" s="110"/>
      <c r="V16" s="55"/>
    </row>
    <row r="17" spans="1:22" ht="31.5" x14ac:dyDescent="0.4">
      <c r="A17" s="118" t="str">
        <f>'Quadro Geral'!A18</f>
        <v>Comissão de Ensino</v>
      </c>
      <c r="B17" s="118" t="str">
        <f>'Quadro Geral'!B18</f>
        <v>A</v>
      </c>
      <c r="C17" s="119" t="str">
        <f>'Quadro Geral'!C18</f>
        <v>Fomento ao aperfeiçoamento e à formação profissional</v>
      </c>
      <c r="D17" s="120">
        <f>'Quadro Geral'!I18</f>
        <v>40000</v>
      </c>
      <c r="E17" s="104"/>
      <c r="F17" s="109"/>
      <c r="G17" s="109"/>
      <c r="H17" s="109"/>
      <c r="I17" s="109">
        <v>15000</v>
      </c>
      <c r="J17" s="109">
        <v>10000</v>
      </c>
      <c r="K17" s="109">
        <v>15000</v>
      </c>
      <c r="L17" s="109"/>
      <c r="M17" s="109"/>
      <c r="N17" s="109"/>
      <c r="O17" s="121">
        <f t="shared" si="1"/>
        <v>40000</v>
      </c>
      <c r="P17" s="109"/>
      <c r="Q17" s="121">
        <f t="shared" si="2"/>
        <v>40000</v>
      </c>
      <c r="R17" s="122">
        <f t="shared" si="0"/>
        <v>0.35354857597053918</v>
      </c>
      <c r="S17" s="123"/>
      <c r="T17" s="110"/>
      <c r="V17" s="55"/>
    </row>
    <row r="18" spans="1:22" ht="63" x14ac:dyDescent="0.4">
      <c r="A18" s="118" t="str">
        <f>'Quadro Geral'!A19</f>
        <v>Comissão Especial de Política Profissional</v>
      </c>
      <c r="B18" s="118" t="str">
        <f>'Quadro Geral'!B19</f>
        <v>A</v>
      </c>
      <c r="C18" s="119" t="str">
        <f>'Quadro Geral'!C19</f>
        <v>Fomento a ações que buscam promover melhorias da prática profissional</v>
      </c>
      <c r="D18" s="120">
        <f>'Quadro Geral'!I19</f>
        <v>25000</v>
      </c>
      <c r="E18" s="104"/>
      <c r="F18" s="109"/>
      <c r="G18" s="109"/>
      <c r="H18" s="109"/>
      <c r="I18" s="109">
        <v>5000</v>
      </c>
      <c r="J18" s="109">
        <v>5000</v>
      </c>
      <c r="K18" s="109">
        <v>15000</v>
      </c>
      <c r="L18" s="109"/>
      <c r="M18" s="109"/>
      <c r="N18" s="109"/>
      <c r="O18" s="121">
        <f t="shared" si="1"/>
        <v>25000</v>
      </c>
      <c r="P18" s="109"/>
      <c r="Q18" s="121">
        <f t="shared" si="2"/>
        <v>25000</v>
      </c>
      <c r="R18" s="122">
        <f t="shared" si="0"/>
        <v>0.22096785998158702</v>
      </c>
      <c r="S18" s="123"/>
      <c r="T18" s="110"/>
      <c r="V18" s="55"/>
    </row>
    <row r="19" spans="1:22" ht="47.25" x14ac:dyDescent="0.4">
      <c r="A19" s="118" t="str">
        <f>'Quadro Geral'!A20</f>
        <v>Comissão Especial Política Urbana</v>
      </c>
      <c r="B19" s="118" t="str">
        <f>'Quadro Geral'!B20</f>
        <v>A</v>
      </c>
      <c r="C19" s="119" t="str">
        <f>'Quadro Geral'!C20</f>
        <v>Fomento a ações que buscam promover melhorias da política urbana estadual</v>
      </c>
      <c r="D19" s="120">
        <f>'Quadro Geral'!I20</f>
        <v>25000</v>
      </c>
      <c r="E19" s="104"/>
      <c r="F19" s="109"/>
      <c r="G19" s="109"/>
      <c r="H19" s="109"/>
      <c r="I19" s="109">
        <v>5000</v>
      </c>
      <c r="J19" s="109">
        <v>5000</v>
      </c>
      <c r="K19" s="109">
        <v>15000</v>
      </c>
      <c r="L19" s="109"/>
      <c r="M19" s="109"/>
      <c r="N19" s="109"/>
      <c r="O19" s="121">
        <f t="shared" si="1"/>
        <v>25000</v>
      </c>
      <c r="P19" s="109"/>
      <c r="Q19" s="121">
        <f t="shared" si="2"/>
        <v>25000</v>
      </c>
      <c r="R19" s="122">
        <f t="shared" si="0"/>
        <v>0.22096785998158702</v>
      </c>
      <c r="S19" s="123"/>
      <c r="T19" s="110"/>
      <c r="V19" s="55"/>
    </row>
    <row r="20" spans="1:22" ht="31.5" x14ac:dyDescent="0.4">
      <c r="A20" s="118" t="str">
        <f>'Quadro Geral'!A21</f>
        <v>Plenária</v>
      </c>
      <c r="B20" s="118" t="str">
        <f>'Quadro Geral'!B21</f>
        <v>A</v>
      </c>
      <c r="C20" s="119" t="str">
        <f>'Quadro Geral'!C21</f>
        <v>Operacionalização das reuniões institucionais regimentais</v>
      </c>
      <c r="D20" s="120">
        <f>'Quadro Geral'!I21</f>
        <v>123528.32000000001</v>
      </c>
      <c r="E20" s="104"/>
      <c r="F20" s="109">
        <v>54528.32</v>
      </c>
      <c r="G20" s="109"/>
      <c r="H20" s="109"/>
      <c r="I20" s="109">
        <v>40000</v>
      </c>
      <c r="J20" s="109">
        <v>29000</v>
      </c>
      <c r="K20" s="109"/>
      <c r="L20" s="109"/>
      <c r="M20" s="109"/>
      <c r="N20" s="109"/>
      <c r="O20" s="121">
        <f t="shared" si="1"/>
        <v>123528.32000000001</v>
      </c>
      <c r="P20" s="109"/>
      <c r="Q20" s="121">
        <f t="shared" si="2"/>
        <v>123528.32000000001</v>
      </c>
      <c r="R20" s="122">
        <f t="shared" si="0"/>
        <v>1.091831540700827</v>
      </c>
      <c r="S20" s="123"/>
      <c r="T20" s="110"/>
      <c r="V20" s="55"/>
    </row>
    <row r="21" spans="1:22" x14ac:dyDescent="0.4">
      <c r="A21" s="118" t="str">
        <f>'Quadro Geral'!A22</f>
        <v>Plenária</v>
      </c>
      <c r="B21" s="118" t="str">
        <f>'Quadro Geral'!B22</f>
        <v>P</v>
      </c>
      <c r="C21" s="119" t="str">
        <f>'Quadro Geral'!C22</f>
        <v>Semana do Arquiteto</v>
      </c>
      <c r="D21" s="120">
        <f>'Quadro Geral'!I22</f>
        <v>80000</v>
      </c>
      <c r="E21" s="104"/>
      <c r="F21" s="109"/>
      <c r="G21" s="109"/>
      <c r="H21" s="109"/>
      <c r="I21" s="109"/>
      <c r="J21" s="109"/>
      <c r="K21" s="109">
        <v>80000</v>
      </c>
      <c r="L21" s="109"/>
      <c r="M21" s="109"/>
      <c r="N21" s="109"/>
      <c r="O21" s="121">
        <f t="shared" si="1"/>
        <v>80000</v>
      </c>
      <c r="P21" s="109"/>
      <c r="Q21" s="121">
        <f t="shared" si="2"/>
        <v>80000</v>
      </c>
      <c r="R21" s="122">
        <f t="shared" si="0"/>
        <v>0.70709715194107836</v>
      </c>
      <c r="S21" s="123"/>
      <c r="T21" s="110"/>
      <c r="V21" s="55"/>
    </row>
    <row r="22" spans="1:22" x14ac:dyDescent="0.4">
      <c r="A22" s="118" t="str">
        <f>'Quadro Geral'!A23</f>
        <v>Direção Geral</v>
      </c>
      <c r="B22" s="118" t="str">
        <f>'Quadro Geral'!B23</f>
        <v>A</v>
      </c>
      <c r="C22" s="119" t="str">
        <f>'Quadro Geral'!C23</f>
        <v>APC - Aperfeiçoamento Profissional Continuado</v>
      </c>
      <c r="D22" s="120">
        <f>'Quadro Geral'!I23</f>
        <v>90000</v>
      </c>
      <c r="E22" s="104"/>
      <c r="F22" s="109"/>
      <c r="G22" s="109"/>
      <c r="H22" s="109"/>
      <c r="I22" s="109"/>
      <c r="J22" s="109"/>
      <c r="K22" s="109">
        <v>90000</v>
      </c>
      <c r="L22" s="109"/>
      <c r="M22" s="109"/>
      <c r="N22" s="109"/>
      <c r="O22" s="121">
        <f t="shared" si="1"/>
        <v>90000</v>
      </c>
      <c r="P22" s="109"/>
      <c r="Q22" s="121">
        <f t="shared" si="2"/>
        <v>90000</v>
      </c>
      <c r="R22" s="122">
        <f t="shared" si="0"/>
        <v>0.79548429593371328</v>
      </c>
      <c r="S22" s="123"/>
      <c r="T22" s="110"/>
      <c r="V22" s="55"/>
    </row>
    <row r="23" spans="1:22" x14ac:dyDescent="0.4">
      <c r="A23" s="118" t="str">
        <f>'Quadro Geral'!A24</f>
        <v>Plenária</v>
      </c>
      <c r="B23" s="118" t="str">
        <f>'Quadro Geral'!B24</f>
        <v>P</v>
      </c>
      <c r="C23" s="119" t="str">
        <f>'Quadro Geral'!C24</f>
        <v>Patrocínio</v>
      </c>
      <c r="D23" s="120">
        <f>'Quadro Geral'!I24</f>
        <v>100000</v>
      </c>
      <c r="E23" s="104"/>
      <c r="F23" s="109"/>
      <c r="G23" s="109"/>
      <c r="H23" s="109"/>
      <c r="I23" s="109"/>
      <c r="J23" s="109"/>
      <c r="K23" s="109"/>
      <c r="L23" s="109">
        <v>100000</v>
      </c>
      <c r="M23" s="109"/>
      <c r="N23" s="109"/>
      <c r="O23" s="121">
        <f t="shared" si="1"/>
        <v>100000</v>
      </c>
      <c r="P23" s="109"/>
      <c r="Q23" s="121">
        <f t="shared" si="2"/>
        <v>100000</v>
      </c>
      <c r="R23" s="122">
        <f t="shared" si="0"/>
        <v>0.88387143992634809</v>
      </c>
      <c r="S23" s="123"/>
      <c r="T23" s="110"/>
      <c r="V23" s="55"/>
    </row>
    <row r="24" spans="1:22" ht="31.5" x14ac:dyDescent="0.4">
      <c r="A24" s="118" t="str">
        <f>'Quadro Geral'!A25</f>
        <v>Gerência Adm. Financeira</v>
      </c>
      <c r="B24" s="118" t="str">
        <f>'Quadro Geral'!B25</f>
        <v>A</v>
      </c>
      <c r="C24" s="119" t="str">
        <f>'Quadro Geral'!C25</f>
        <v>Aporte ao Fundo de Apoio</v>
      </c>
      <c r="D24" s="120">
        <f>'Quadro Geral'!I25</f>
        <v>63933.47699640358</v>
      </c>
      <c r="E24" s="104"/>
      <c r="F24" s="109"/>
      <c r="G24" s="109"/>
      <c r="H24" s="109"/>
      <c r="I24" s="109"/>
      <c r="J24" s="109"/>
      <c r="K24" s="109"/>
      <c r="L24" s="12">
        <v>63933.47699640358</v>
      </c>
      <c r="M24" s="109"/>
      <c r="N24" s="109"/>
      <c r="O24" s="121">
        <f t="shared" si="1"/>
        <v>63933.47699640358</v>
      </c>
      <c r="P24" s="109"/>
      <c r="Q24" s="121">
        <f t="shared" si="2"/>
        <v>63933.47699640358</v>
      </c>
      <c r="R24" s="122">
        <f t="shared" si="0"/>
        <v>0.56508974372309284</v>
      </c>
      <c r="S24" s="123"/>
      <c r="T24" s="110"/>
      <c r="V24" s="55"/>
    </row>
    <row r="25" spans="1:22" ht="31.5" x14ac:dyDescent="0.4">
      <c r="A25" s="118" t="str">
        <f>'Quadro Geral'!A26</f>
        <v>Assessoria de Comunicação</v>
      </c>
      <c r="B25" s="118" t="str">
        <f>'Quadro Geral'!B26</f>
        <v>A</v>
      </c>
      <c r="C25" s="119" t="str">
        <f>'Quadro Geral'!C26</f>
        <v>Comunicação Institucional</v>
      </c>
      <c r="D25" s="227">
        <f>'Quadro Geral'!I26</f>
        <v>510450.98</v>
      </c>
      <c r="E25" s="104"/>
      <c r="F25" s="225">
        <v>210450.98</v>
      </c>
      <c r="G25" s="109"/>
      <c r="H25" s="109">
        <v>10000</v>
      </c>
      <c r="I25" s="109"/>
      <c r="J25" s="109"/>
      <c r="K25" s="109">
        <v>290000</v>
      </c>
      <c r="L25" s="109"/>
      <c r="M25" s="109"/>
      <c r="N25" s="109"/>
      <c r="O25" s="121">
        <f t="shared" si="1"/>
        <v>510450.98</v>
      </c>
      <c r="P25" s="109"/>
      <c r="Q25" s="121">
        <f t="shared" si="2"/>
        <v>510450.98</v>
      </c>
      <c r="R25" s="122">
        <f t="shared" si="0"/>
        <v>4.5117304270441547</v>
      </c>
      <c r="S25" s="123"/>
      <c r="T25" s="110"/>
      <c r="V25" s="55"/>
    </row>
    <row r="26" spans="1:22" x14ac:dyDescent="0.4">
      <c r="A26" s="118" t="str">
        <f>'Quadro Geral'!A27</f>
        <v>Direção Geral</v>
      </c>
      <c r="B26" s="118" t="str">
        <f>'Quadro Geral'!B27</f>
        <v>A</v>
      </c>
      <c r="C26" s="119" t="str">
        <f>'Quadro Geral'!C27</f>
        <v>Programa de Capacitação dos Colaboradores</v>
      </c>
      <c r="D26" s="120">
        <f>'Quadro Geral'!I27</f>
        <v>50000</v>
      </c>
      <c r="E26" s="104"/>
      <c r="F26" s="109"/>
      <c r="G26" s="109"/>
      <c r="H26" s="109"/>
      <c r="I26" s="109"/>
      <c r="J26" s="109"/>
      <c r="K26" s="109">
        <v>50000</v>
      </c>
      <c r="L26" s="109"/>
      <c r="M26" s="109"/>
      <c r="N26" s="109"/>
      <c r="O26" s="121">
        <f t="shared" si="1"/>
        <v>50000</v>
      </c>
      <c r="P26" s="109"/>
      <c r="Q26" s="121">
        <f t="shared" si="2"/>
        <v>50000</v>
      </c>
      <c r="R26" s="122">
        <f t="shared" si="0"/>
        <v>0.44193571996317405</v>
      </c>
      <c r="S26" s="123"/>
      <c r="T26" s="110"/>
      <c r="V26" s="55"/>
    </row>
    <row r="27" spans="1:22" x14ac:dyDescent="0.4">
      <c r="A27" s="118" t="str">
        <f>'Quadro Geral'!A28</f>
        <v>Plenária</v>
      </c>
      <c r="B27" s="118" t="str">
        <f>'Quadro Geral'!B28</f>
        <v>P</v>
      </c>
      <c r="C27" s="119" t="str">
        <f>'Quadro Geral'!C28</f>
        <v>Programa de Assistência Técnica</v>
      </c>
      <c r="D27" s="120">
        <f>'Quadro Geral'!I28</f>
        <v>268400</v>
      </c>
      <c r="E27" s="104"/>
      <c r="F27" s="109"/>
      <c r="G27" s="109"/>
      <c r="H27" s="109"/>
      <c r="I27" s="109"/>
      <c r="J27" s="109"/>
      <c r="K27" s="109">
        <f>236000+32400</f>
        <v>268400</v>
      </c>
      <c r="L27" s="109"/>
      <c r="M27" s="109"/>
      <c r="N27" s="109"/>
      <c r="O27" s="121">
        <f t="shared" si="1"/>
        <v>268400</v>
      </c>
      <c r="P27" s="109"/>
      <c r="Q27" s="121">
        <f t="shared" si="2"/>
        <v>268400</v>
      </c>
      <c r="R27" s="122">
        <f t="shared" si="0"/>
        <v>2.3723109447623179</v>
      </c>
      <c r="S27" s="123"/>
      <c r="T27" s="110"/>
      <c r="V27" s="55"/>
    </row>
    <row r="28" spans="1:22" ht="31.5" x14ac:dyDescent="0.4">
      <c r="A28" s="118" t="str">
        <f>'Quadro Geral'!A29</f>
        <v>Gerência de Atendimento</v>
      </c>
      <c r="B28" s="118" t="str">
        <f>'Quadro Geral'!B29</f>
        <v>A</v>
      </c>
      <c r="C28" s="119" t="str">
        <f>'Quadro Geral'!C29</f>
        <v>Atendimento da Sociedade e arquitetos e urbanistas</v>
      </c>
      <c r="D28" s="120">
        <f>'Quadro Geral'!I29</f>
        <v>366797.12</v>
      </c>
      <c r="E28" s="104"/>
      <c r="F28" s="109">
        <v>231659.51999999999</v>
      </c>
      <c r="G28" s="109"/>
      <c r="H28" s="109"/>
      <c r="I28" s="109"/>
      <c r="J28" s="109"/>
      <c r="K28" s="109">
        <f>13137.6+80000+42000</f>
        <v>135137.60000000001</v>
      </c>
      <c r="L28" s="109"/>
      <c r="M28" s="109"/>
      <c r="N28" s="109"/>
      <c r="O28" s="121">
        <f t="shared" si="1"/>
        <v>366797.12</v>
      </c>
      <c r="P28" s="109"/>
      <c r="Q28" s="121">
        <f t="shared" si="2"/>
        <v>366797.12</v>
      </c>
      <c r="R28" s="122">
        <f t="shared" si="0"/>
        <v>3.242014986152375</v>
      </c>
      <c r="S28" s="123"/>
      <c r="T28" s="110"/>
      <c r="V28" s="55"/>
    </row>
    <row r="29" spans="1:22" x14ac:dyDescent="0.4">
      <c r="A29" s="118" t="str">
        <f>'Quadro Geral'!A30</f>
        <v>Plenária</v>
      </c>
      <c r="B29" s="118" t="str">
        <f>'Quadro Geral'!B30</f>
        <v>P</v>
      </c>
      <c r="C29" s="119" t="str">
        <f>'Quadro Geral'!C30</f>
        <v>Reforma sede CAU/BA</v>
      </c>
      <c r="D29" s="120">
        <f>'Quadro Geral'!I30</f>
        <v>800000</v>
      </c>
      <c r="E29" s="104"/>
      <c r="F29" s="109"/>
      <c r="G29" s="109"/>
      <c r="H29" s="109"/>
      <c r="I29" s="109"/>
      <c r="J29" s="109"/>
      <c r="K29" s="109"/>
      <c r="L29" s="109"/>
      <c r="M29" s="109"/>
      <c r="N29" s="109"/>
      <c r="O29" s="121">
        <f t="shared" si="1"/>
        <v>0</v>
      </c>
      <c r="P29" s="109">
        <v>800000</v>
      </c>
      <c r="Q29" s="121">
        <f t="shared" si="2"/>
        <v>800000</v>
      </c>
      <c r="R29" s="122">
        <f t="shared" si="0"/>
        <v>7.0709715194107847</v>
      </c>
      <c r="S29" s="123"/>
      <c r="T29" s="110"/>
      <c r="V29" s="55"/>
    </row>
    <row r="30" spans="1:22" x14ac:dyDescent="0.4">
      <c r="A30" s="118" t="str">
        <f>'Quadro Geral'!A31</f>
        <v>Plenária</v>
      </c>
      <c r="B30" s="118" t="str">
        <f>'Quadro Geral'!B31</f>
        <v>P</v>
      </c>
      <c r="C30" s="119" t="str">
        <f>'Quadro Geral'!C31</f>
        <v>Aquisição de Equipamentos</v>
      </c>
      <c r="D30" s="120">
        <f>'Quadro Geral'!I31</f>
        <v>640000</v>
      </c>
      <c r="E30" s="104"/>
      <c r="F30" s="109"/>
      <c r="G30" s="109"/>
      <c r="H30" s="109"/>
      <c r="I30" s="109"/>
      <c r="J30" s="109"/>
      <c r="K30" s="109"/>
      <c r="L30" s="109"/>
      <c r="M30" s="109"/>
      <c r="N30" s="109"/>
      <c r="O30" s="121">
        <f t="shared" si="1"/>
        <v>0</v>
      </c>
      <c r="P30" s="109">
        <v>640000</v>
      </c>
      <c r="Q30" s="121">
        <f t="shared" si="2"/>
        <v>640000</v>
      </c>
      <c r="R30" s="122">
        <f t="shared" si="0"/>
        <v>5.6567772155286269</v>
      </c>
      <c r="S30" s="123"/>
      <c r="T30" s="110"/>
      <c r="V30" s="55"/>
    </row>
    <row r="31" spans="1:22" ht="31.5" x14ac:dyDescent="0.4">
      <c r="A31" s="118" t="str">
        <f>'Quadro Geral'!A32</f>
        <v>Gerência Adm. Financeira</v>
      </c>
      <c r="B31" s="118" t="str">
        <f>'Quadro Geral'!B32</f>
        <v>A</v>
      </c>
      <c r="C31" s="119" t="str">
        <f>'Quadro Geral'!C32</f>
        <v>CSC -Fiscalização</v>
      </c>
      <c r="D31" s="120">
        <f>'Quadro Geral'!I32</f>
        <v>358590.21</v>
      </c>
      <c r="E31" s="104"/>
      <c r="F31" s="109"/>
      <c r="G31" s="109"/>
      <c r="H31" s="109"/>
      <c r="I31" s="109"/>
      <c r="J31" s="109"/>
      <c r="K31" s="109"/>
      <c r="L31" s="109">
        <v>358590.21</v>
      </c>
      <c r="M31" s="109"/>
      <c r="N31" s="109"/>
      <c r="O31" s="121">
        <f t="shared" si="1"/>
        <v>358590.21</v>
      </c>
      <c r="P31" s="109"/>
      <c r="Q31" s="121">
        <f t="shared" si="2"/>
        <v>358590.21</v>
      </c>
      <c r="R31" s="122">
        <f t="shared" si="0"/>
        <v>3.1694764525619155</v>
      </c>
      <c r="S31" s="123"/>
      <c r="T31" s="110"/>
      <c r="V31" s="55"/>
    </row>
    <row r="32" spans="1:22" ht="31.5" x14ac:dyDescent="0.4">
      <c r="A32" s="118" t="str">
        <f>'Quadro Geral'!A33</f>
        <v>Gerência Adm. Financeira</v>
      </c>
      <c r="B32" s="118" t="str">
        <f>'Quadro Geral'!B33</f>
        <v>A</v>
      </c>
      <c r="C32" s="119" t="str">
        <f>'Quadro Geral'!C33</f>
        <v>CSC- Atendimento</v>
      </c>
      <c r="D32" s="120">
        <f>'Quadro Geral'!I33</f>
        <v>48403.97</v>
      </c>
      <c r="E32" s="104"/>
      <c r="F32" s="109"/>
      <c r="G32" s="109"/>
      <c r="H32" s="109"/>
      <c r="I32" s="109"/>
      <c r="J32" s="109"/>
      <c r="K32" s="109"/>
      <c r="L32" s="109">
        <v>48403.97</v>
      </c>
      <c r="M32" s="109"/>
      <c r="N32" s="109"/>
      <c r="O32" s="121">
        <f t="shared" si="1"/>
        <v>48403.97</v>
      </c>
      <c r="P32" s="109"/>
      <c r="Q32" s="121">
        <f t="shared" si="2"/>
        <v>48403.97</v>
      </c>
      <c r="R32" s="122">
        <f t="shared" si="0"/>
        <v>0.4278288666205175</v>
      </c>
      <c r="S32" s="123"/>
      <c r="T32" s="110"/>
      <c r="V32" s="55"/>
    </row>
    <row r="33" spans="1:22" ht="31.5" x14ac:dyDescent="0.4">
      <c r="A33" s="118" t="str">
        <f>'Quadro Geral'!A34</f>
        <v>Gerência de Fiscalização</v>
      </c>
      <c r="B33" s="118" t="str">
        <f>'Quadro Geral'!B34</f>
        <v>A</v>
      </c>
      <c r="C33" s="119" t="str">
        <f>'Quadro Geral'!C34</f>
        <v>Plano de Fiscalização</v>
      </c>
      <c r="D33" s="120">
        <f>'Quadro Geral'!I34</f>
        <v>468486.44</v>
      </c>
      <c r="E33" s="104"/>
      <c r="F33" s="109">
        <v>324348.84000000003</v>
      </c>
      <c r="G33" s="111"/>
      <c r="H33" s="111"/>
      <c r="I33" s="111"/>
      <c r="J33" s="111"/>
      <c r="K33" s="226">
        <f>13137.6+126000+5000</f>
        <v>144137.60000000001</v>
      </c>
      <c r="L33" s="111"/>
      <c r="M33" s="111"/>
      <c r="N33" s="111"/>
      <c r="O33" s="121">
        <f t="shared" si="1"/>
        <v>468486.44000000006</v>
      </c>
      <c r="P33" s="111"/>
      <c r="Q33" s="121">
        <f t="shared" si="2"/>
        <v>468486.44000000006</v>
      </c>
      <c r="R33" s="122">
        <f t="shared" si="0"/>
        <v>4.140817843087687</v>
      </c>
      <c r="S33" s="123"/>
      <c r="T33" s="110"/>
      <c r="V33" s="55"/>
    </row>
    <row r="34" spans="1:22" x14ac:dyDescent="0.4">
      <c r="A34" s="118" t="str">
        <f>'Quadro Geral'!A35</f>
        <v>Plenária</v>
      </c>
      <c r="B34" s="118" t="str">
        <f>'Quadro Geral'!B35</f>
        <v>A</v>
      </c>
      <c r="C34" s="119" t="str">
        <f>'Quadro Geral'!C35</f>
        <v>Reserva de Contingência</v>
      </c>
      <c r="D34" s="120">
        <f>'Quadro Geral'!I35</f>
        <v>41000</v>
      </c>
      <c r="E34" s="104"/>
      <c r="F34" s="109"/>
      <c r="G34" s="111"/>
      <c r="H34" s="111"/>
      <c r="I34" s="111"/>
      <c r="J34" s="111"/>
      <c r="K34" s="226"/>
      <c r="L34" s="111"/>
      <c r="M34" s="111">
        <v>41000</v>
      </c>
      <c r="N34" s="111"/>
      <c r="O34" s="121">
        <f t="shared" si="1"/>
        <v>41000</v>
      </c>
      <c r="P34" s="111"/>
      <c r="Q34" s="121">
        <f t="shared" si="2"/>
        <v>41000</v>
      </c>
      <c r="R34" s="122">
        <f t="shared" si="0"/>
        <v>0.36238729036980272</v>
      </c>
      <c r="S34" s="123"/>
      <c r="T34" s="110"/>
      <c r="V34" s="55"/>
    </row>
    <row r="35" spans="1:22" x14ac:dyDescent="0.4">
      <c r="A35" s="118" t="str">
        <f>'Quadro Geral'!A36</f>
        <v>Presidência</v>
      </c>
      <c r="B35" s="118" t="str">
        <f>'Quadro Geral'!B36</f>
        <v>P</v>
      </c>
      <c r="C35" s="119" t="str">
        <f>'Quadro Geral'!C36</f>
        <v>Aquisição sede CAU/BA</v>
      </c>
      <c r="D35" s="120">
        <f>'Quadro Geral'!I36</f>
        <v>4000000</v>
      </c>
      <c r="E35" s="104"/>
      <c r="F35" s="109"/>
      <c r="G35" s="111"/>
      <c r="H35" s="111"/>
      <c r="I35" s="111"/>
      <c r="J35" s="111"/>
      <c r="K35" s="226"/>
      <c r="L35" s="111"/>
      <c r="M35" s="111"/>
      <c r="N35" s="111"/>
      <c r="O35" s="121">
        <f t="shared" si="1"/>
        <v>0</v>
      </c>
      <c r="P35" s="111">
        <v>4000000</v>
      </c>
      <c r="Q35" s="121">
        <f t="shared" si="2"/>
        <v>4000000</v>
      </c>
      <c r="R35" s="122">
        <f t="shared" si="0"/>
        <v>35.354857597053922</v>
      </c>
      <c r="S35" s="123"/>
      <c r="T35" s="110"/>
      <c r="V35" s="55"/>
    </row>
    <row r="36" spans="1:22" x14ac:dyDescent="0.4">
      <c r="A36" s="118" t="str">
        <f>'Quadro Geral'!A37</f>
        <v>Plenária</v>
      </c>
      <c r="B36" s="118" t="str">
        <f>'Quadro Geral'!B37</f>
        <v>P</v>
      </c>
      <c r="C36" s="119" t="str">
        <f>'Quadro Geral'!C37</f>
        <v>Concurso</v>
      </c>
      <c r="D36" s="120">
        <f>'Quadro Geral'!I37</f>
        <v>5000</v>
      </c>
      <c r="E36" s="104"/>
      <c r="F36" s="109"/>
      <c r="G36" s="111"/>
      <c r="H36" s="111"/>
      <c r="I36" s="111"/>
      <c r="J36" s="111"/>
      <c r="K36" s="226">
        <v>5000</v>
      </c>
      <c r="L36" s="111"/>
      <c r="M36" s="111"/>
      <c r="N36" s="111"/>
      <c r="O36" s="121">
        <f t="shared" si="1"/>
        <v>5000</v>
      </c>
      <c r="P36" s="111"/>
      <c r="Q36" s="121">
        <f t="shared" si="2"/>
        <v>5000</v>
      </c>
      <c r="R36" s="122">
        <f t="shared" si="0"/>
        <v>4.4193571996317398E-2</v>
      </c>
      <c r="S36" s="123"/>
      <c r="T36" s="110"/>
      <c r="V36" s="55"/>
    </row>
    <row r="37" spans="1:22" ht="31.5" x14ac:dyDescent="0.4">
      <c r="A37" s="118" t="str">
        <f>'Quadro Geral'!A38</f>
        <v>Gerência Administrativa</v>
      </c>
      <c r="B37" s="118" t="str">
        <f>'Quadro Geral'!B38</f>
        <v>A</v>
      </c>
      <c r="C37" s="119" t="str">
        <f>'Quadro Geral'!C38</f>
        <v>Manutenção Administrativa</v>
      </c>
      <c r="D37" s="120">
        <f>'Quadro Geral'!I38</f>
        <v>448555.14</v>
      </c>
      <c r="E37" s="104"/>
      <c r="F37" s="109">
        <v>248417.54</v>
      </c>
      <c r="G37" s="111"/>
      <c r="H37" s="111"/>
      <c r="I37" s="111"/>
      <c r="J37" s="111"/>
      <c r="K37" s="226">
        <f>13137.6+80000+17000+60000+30000</f>
        <v>200137.60000000001</v>
      </c>
      <c r="L37" s="111"/>
      <c r="M37" s="111"/>
      <c r="N37" s="111"/>
      <c r="O37" s="121">
        <f t="shared" si="1"/>
        <v>448555.14</v>
      </c>
      <c r="P37" s="111"/>
      <c r="Q37" s="121">
        <f t="shared" si="2"/>
        <v>448555.14</v>
      </c>
      <c r="R37" s="122">
        <f t="shared" si="0"/>
        <v>3.9646507747816466</v>
      </c>
      <c r="S37" s="123"/>
      <c r="T37" s="110"/>
      <c r="V37" s="55"/>
    </row>
    <row r="38" spans="1:22" x14ac:dyDescent="0.4">
      <c r="A38" s="118" t="str">
        <f>'Quadro Geral'!A39</f>
        <v>Plenário</v>
      </c>
      <c r="B38" s="118" t="str">
        <f>'Quadro Geral'!B39</f>
        <v>P</v>
      </c>
      <c r="C38" s="119" t="str">
        <f>'Quadro Geral'!C39</f>
        <v>Mudança sede Defiitiva</v>
      </c>
      <c r="D38" s="120">
        <f>'Quadro Geral'!I39</f>
        <v>50000</v>
      </c>
      <c r="E38" s="104"/>
      <c r="F38" s="109"/>
      <c r="G38" s="111"/>
      <c r="H38" s="111"/>
      <c r="I38" s="111"/>
      <c r="J38" s="111"/>
      <c r="K38" s="226">
        <v>50000</v>
      </c>
      <c r="L38" s="111"/>
      <c r="M38" s="111"/>
      <c r="N38" s="111"/>
      <c r="O38" s="121">
        <f t="shared" si="1"/>
        <v>50000</v>
      </c>
      <c r="P38" s="111"/>
      <c r="Q38" s="121">
        <f t="shared" si="2"/>
        <v>50000</v>
      </c>
      <c r="R38" s="122">
        <f t="shared" si="0"/>
        <v>0.44193571996317405</v>
      </c>
      <c r="S38" s="123"/>
      <c r="T38" s="110"/>
      <c r="V38" s="55"/>
    </row>
    <row r="39" spans="1:22" x14ac:dyDescent="0.4">
      <c r="A39" s="118" t="str">
        <f>'Quadro Geral'!A40</f>
        <v>Plenário</v>
      </c>
      <c r="B39" s="118" t="str">
        <f>'Quadro Geral'!B40</f>
        <v>P</v>
      </c>
      <c r="C39" s="119" t="str">
        <f>'Quadro Geral'!C40</f>
        <v>Projeto Intercomissões</v>
      </c>
      <c r="D39" s="120">
        <f>'Quadro Geral'!I40</f>
        <v>30000</v>
      </c>
      <c r="E39" s="104"/>
      <c r="F39" s="111"/>
      <c r="G39" s="111"/>
      <c r="H39" s="111"/>
      <c r="I39" s="111"/>
      <c r="J39" s="111"/>
      <c r="K39" s="226">
        <v>30000</v>
      </c>
      <c r="L39" s="111"/>
      <c r="M39" s="111"/>
      <c r="N39" s="111"/>
      <c r="O39" s="121">
        <f t="shared" si="1"/>
        <v>30000</v>
      </c>
      <c r="P39" s="111"/>
      <c r="Q39" s="121">
        <f t="shared" si="2"/>
        <v>30000</v>
      </c>
      <c r="R39" s="122">
        <f t="shared" si="0"/>
        <v>0.26516143197790443</v>
      </c>
      <c r="S39" s="123"/>
      <c r="T39" s="110"/>
      <c r="V39" s="55"/>
    </row>
    <row r="40" spans="1:22" x14ac:dyDescent="0.4">
      <c r="A40" s="118" t="str">
        <f>'Quadro Geral'!A41</f>
        <v>Presidência</v>
      </c>
      <c r="B40" s="118" t="str">
        <f>'Quadro Geral'!B41</f>
        <v>P</v>
      </c>
      <c r="C40" s="119" t="str">
        <f>'Quadro Geral'!C41</f>
        <v xml:space="preserve">Aquisição carro </v>
      </c>
      <c r="D40" s="120">
        <f>'Quadro Geral'!I41</f>
        <v>150000</v>
      </c>
      <c r="E40" s="104"/>
      <c r="F40" s="111"/>
      <c r="G40" s="111"/>
      <c r="H40" s="111"/>
      <c r="I40" s="111"/>
      <c r="J40" s="111"/>
      <c r="K40" s="111"/>
      <c r="L40" s="111"/>
      <c r="M40" s="111"/>
      <c r="N40" s="111"/>
      <c r="O40" s="121">
        <f t="shared" si="1"/>
        <v>0</v>
      </c>
      <c r="P40" s="111">
        <v>150000</v>
      </c>
      <c r="Q40" s="121">
        <f t="shared" si="2"/>
        <v>150000</v>
      </c>
      <c r="R40" s="122">
        <f t="shared" si="0"/>
        <v>1.3258071598895222</v>
      </c>
      <c r="S40" s="123"/>
      <c r="T40" s="110"/>
      <c r="V40" s="55"/>
    </row>
    <row r="41" spans="1:22" x14ac:dyDescent="0.4">
      <c r="A41" s="118" t="str">
        <f>'Quadro Geral'!A42</f>
        <v>Presidência</v>
      </c>
      <c r="B41" s="118" t="str">
        <f>'Quadro Geral'!B42</f>
        <v>P</v>
      </c>
      <c r="C41" s="119" t="str">
        <f>'Quadro Geral'!C42</f>
        <v>Eleiçoes</v>
      </c>
      <c r="D41" s="120">
        <f>'Quadro Geral'!I42</f>
        <v>15000</v>
      </c>
      <c r="E41" s="104"/>
      <c r="F41" s="111">
        <v>15000</v>
      </c>
      <c r="G41" s="111"/>
      <c r="H41" s="111"/>
      <c r="I41" s="111"/>
      <c r="J41" s="111"/>
      <c r="K41" s="111"/>
      <c r="L41" s="111"/>
      <c r="M41" s="111"/>
      <c r="N41" s="111"/>
      <c r="O41" s="121">
        <f t="shared" si="1"/>
        <v>15000</v>
      </c>
      <c r="P41" s="111"/>
      <c r="Q41" s="121">
        <f t="shared" si="2"/>
        <v>15000</v>
      </c>
      <c r="R41" s="122">
        <f t="shared" si="0"/>
        <v>0.13258071598895221</v>
      </c>
      <c r="S41" s="123"/>
      <c r="T41" s="110"/>
      <c r="V41" s="55"/>
    </row>
    <row r="42" spans="1:22" hidden="1" x14ac:dyDescent="0.4">
      <c r="A42" s="118">
        <f>'Quadro Geral'!A43</f>
        <v>0</v>
      </c>
      <c r="B42" s="118">
        <f>'Quadro Geral'!B43</f>
        <v>0</v>
      </c>
      <c r="C42" s="119">
        <f>'Quadro Geral'!C43</f>
        <v>0</v>
      </c>
      <c r="D42" s="120">
        <f>'Quadro Geral'!I43</f>
        <v>0</v>
      </c>
      <c r="E42" s="104"/>
      <c r="F42" s="111"/>
      <c r="G42" s="111"/>
      <c r="H42" s="111"/>
      <c r="I42" s="111"/>
      <c r="J42" s="111"/>
      <c r="K42" s="111"/>
      <c r="L42" s="111"/>
      <c r="M42" s="111"/>
      <c r="N42" s="111"/>
      <c r="O42" s="121">
        <f t="shared" si="1"/>
        <v>0</v>
      </c>
      <c r="P42" s="111"/>
      <c r="Q42" s="121">
        <f t="shared" si="2"/>
        <v>0</v>
      </c>
      <c r="R42" s="122">
        <f t="shared" si="0"/>
        <v>0</v>
      </c>
      <c r="S42" s="123"/>
      <c r="T42" s="110"/>
      <c r="V42" s="55"/>
    </row>
    <row r="43" spans="1:22" hidden="1" x14ac:dyDescent="0.4">
      <c r="A43" s="118">
        <f>'Quadro Geral'!A44</f>
        <v>0</v>
      </c>
      <c r="B43" s="118">
        <f>'Quadro Geral'!B44</f>
        <v>0</v>
      </c>
      <c r="C43" s="119">
        <f>'Quadro Geral'!C44</f>
        <v>0</v>
      </c>
      <c r="D43" s="120">
        <f>'Quadro Geral'!I44</f>
        <v>0</v>
      </c>
      <c r="E43" s="104"/>
      <c r="F43" s="111"/>
      <c r="G43" s="111"/>
      <c r="H43" s="111"/>
      <c r="I43" s="111"/>
      <c r="J43" s="111"/>
      <c r="K43" s="111"/>
      <c r="L43" s="111"/>
      <c r="M43" s="111"/>
      <c r="N43" s="111"/>
      <c r="O43" s="121">
        <f t="shared" si="1"/>
        <v>0</v>
      </c>
      <c r="P43" s="111"/>
      <c r="Q43" s="121">
        <f t="shared" si="2"/>
        <v>0</v>
      </c>
      <c r="R43" s="122">
        <f t="shared" si="0"/>
        <v>0</v>
      </c>
      <c r="S43" s="123"/>
      <c r="T43" s="110"/>
      <c r="V43" s="55"/>
    </row>
    <row r="44" spans="1:22" hidden="1" x14ac:dyDescent="0.4">
      <c r="A44" s="118">
        <f>'Quadro Geral'!A45</f>
        <v>0</v>
      </c>
      <c r="B44" s="118">
        <f>'Quadro Geral'!B45</f>
        <v>0</v>
      </c>
      <c r="C44" s="119">
        <f>'Quadro Geral'!C45</f>
        <v>0</v>
      </c>
      <c r="D44" s="120">
        <f>'Quadro Geral'!I45</f>
        <v>0</v>
      </c>
      <c r="E44" s="104"/>
      <c r="F44" s="111"/>
      <c r="G44" s="111"/>
      <c r="H44" s="111"/>
      <c r="I44" s="111"/>
      <c r="J44" s="111"/>
      <c r="K44" s="111"/>
      <c r="L44" s="111"/>
      <c r="M44" s="111"/>
      <c r="N44" s="111"/>
      <c r="O44" s="121">
        <f t="shared" si="1"/>
        <v>0</v>
      </c>
      <c r="P44" s="111"/>
      <c r="Q44" s="121">
        <f t="shared" si="2"/>
        <v>0</v>
      </c>
      <c r="R44" s="122">
        <f t="shared" si="0"/>
        <v>0</v>
      </c>
      <c r="S44" s="123"/>
      <c r="T44" s="110"/>
      <c r="V44" s="55"/>
    </row>
    <row r="45" spans="1:22" hidden="1" x14ac:dyDescent="0.4">
      <c r="A45" s="118">
        <f>'Quadro Geral'!A46</f>
        <v>0</v>
      </c>
      <c r="B45" s="118">
        <f>'Quadro Geral'!B46</f>
        <v>0</v>
      </c>
      <c r="C45" s="119">
        <f>'Quadro Geral'!C46</f>
        <v>0</v>
      </c>
      <c r="D45" s="120">
        <f>'Quadro Geral'!I46</f>
        <v>0</v>
      </c>
      <c r="E45" s="104"/>
      <c r="F45" s="111"/>
      <c r="G45" s="111"/>
      <c r="H45" s="111"/>
      <c r="I45" s="111"/>
      <c r="J45" s="111"/>
      <c r="K45" s="111"/>
      <c r="L45" s="111"/>
      <c r="M45" s="111"/>
      <c r="N45" s="111"/>
      <c r="O45" s="121">
        <f t="shared" si="1"/>
        <v>0</v>
      </c>
      <c r="P45" s="111"/>
      <c r="Q45" s="121">
        <f t="shared" si="2"/>
        <v>0</v>
      </c>
      <c r="R45" s="122">
        <f t="shared" si="0"/>
        <v>0</v>
      </c>
      <c r="S45" s="123"/>
      <c r="T45" s="110"/>
      <c r="V45" s="55"/>
    </row>
    <row r="46" spans="1:22" hidden="1" x14ac:dyDescent="0.4">
      <c r="A46" s="118">
        <f>'Quadro Geral'!A47</f>
        <v>0</v>
      </c>
      <c r="B46" s="118">
        <f>'Quadro Geral'!B47</f>
        <v>0</v>
      </c>
      <c r="C46" s="119">
        <f>'Quadro Geral'!C47</f>
        <v>0</v>
      </c>
      <c r="D46" s="120">
        <f>'Quadro Geral'!I47</f>
        <v>0</v>
      </c>
      <c r="E46" s="104"/>
      <c r="F46" s="111"/>
      <c r="G46" s="111"/>
      <c r="H46" s="111"/>
      <c r="I46" s="111"/>
      <c r="J46" s="111"/>
      <c r="K46" s="111"/>
      <c r="L46" s="111"/>
      <c r="M46" s="111"/>
      <c r="N46" s="111"/>
      <c r="O46" s="121">
        <f t="shared" si="1"/>
        <v>0</v>
      </c>
      <c r="P46" s="111"/>
      <c r="Q46" s="121">
        <f t="shared" si="2"/>
        <v>0</v>
      </c>
      <c r="R46" s="122">
        <f t="shared" si="0"/>
        <v>0</v>
      </c>
      <c r="S46" s="123"/>
      <c r="T46" s="110"/>
      <c r="V46" s="55"/>
    </row>
    <row r="47" spans="1:22" hidden="1" x14ac:dyDescent="0.4">
      <c r="A47" s="118">
        <f>'Quadro Geral'!A48</f>
        <v>0</v>
      </c>
      <c r="B47" s="118">
        <f>'Quadro Geral'!B48</f>
        <v>0</v>
      </c>
      <c r="C47" s="119">
        <f>'Quadro Geral'!C48</f>
        <v>0</v>
      </c>
      <c r="D47" s="120">
        <f>'Quadro Geral'!I48</f>
        <v>0</v>
      </c>
      <c r="E47" s="104"/>
      <c r="F47" s="111"/>
      <c r="G47" s="111"/>
      <c r="H47" s="111"/>
      <c r="I47" s="111"/>
      <c r="J47" s="111"/>
      <c r="K47" s="111"/>
      <c r="L47" s="111"/>
      <c r="M47" s="111"/>
      <c r="N47" s="111"/>
      <c r="O47" s="121">
        <f t="shared" si="1"/>
        <v>0</v>
      </c>
      <c r="P47" s="111"/>
      <c r="Q47" s="121">
        <f t="shared" si="2"/>
        <v>0</v>
      </c>
      <c r="R47" s="122">
        <f t="shared" si="0"/>
        <v>0</v>
      </c>
      <c r="S47" s="123"/>
      <c r="T47" s="110"/>
      <c r="V47" s="55"/>
    </row>
    <row r="48" spans="1:22" hidden="1" x14ac:dyDescent="0.4">
      <c r="A48" s="118">
        <f>'Quadro Geral'!A49</f>
        <v>0</v>
      </c>
      <c r="B48" s="118">
        <f>'Quadro Geral'!B49</f>
        <v>0</v>
      </c>
      <c r="C48" s="119">
        <f>'Quadro Geral'!C49</f>
        <v>0</v>
      </c>
      <c r="D48" s="120">
        <f>'Quadro Geral'!I49</f>
        <v>0</v>
      </c>
      <c r="E48" s="104"/>
      <c r="F48" s="111"/>
      <c r="G48" s="111"/>
      <c r="H48" s="111"/>
      <c r="I48" s="111"/>
      <c r="J48" s="111"/>
      <c r="K48" s="111"/>
      <c r="L48" s="111"/>
      <c r="M48" s="111"/>
      <c r="N48" s="111"/>
      <c r="O48" s="121">
        <f t="shared" si="1"/>
        <v>0</v>
      </c>
      <c r="P48" s="111"/>
      <c r="Q48" s="121">
        <f t="shared" si="2"/>
        <v>0</v>
      </c>
      <c r="R48" s="122">
        <f t="shared" si="0"/>
        <v>0</v>
      </c>
      <c r="S48" s="123"/>
      <c r="T48" s="110"/>
      <c r="V48" s="55"/>
    </row>
    <row r="49" spans="1:22" hidden="1" x14ac:dyDescent="0.4">
      <c r="A49" s="118">
        <f>'Quadro Geral'!A50</f>
        <v>0</v>
      </c>
      <c r="B49" s="118">
        <f>'Quadro Geral'!B50</f>
        <v>0</v>
      </c>
      <c r="C49" s="119">
        <f>'Quadro Geral'!C50</f>
        <v>0</v>
      </c>
      <c r="D49" s="120">
        <f>'Quadro Geral'!I50</f>
        <v>0</v>
      </c>
      <c r="E49" s="104"/>
      <c r="F49" s="111"/>
      <c r="G49" s="111"/>
      <c r="H49" s="111"/>
      <c r="I49" s="111"/>
      <c r="J49" s="111"/>
      <c r="K49" s="111"/>
      <c r="L49" s="111"/>
      <c r="M49" s="111"/>
      <c r="N49" s="111"/>
      <c r="O49" s="121">
        <f t="shared" si="1"/>
        <v>0</v>
      </c>
      <c r="P49" s="111"/>
      <c r="Q49" s="121">
        <f t="shared" si="2"/>
        <v>0</v>
      </c>
      <c r="R49" s="122">
        <f t="shared" si="0"/>
        <v>0</v>
      </c>
      <c r="S49" s="123"/>
      <c r="T49" s="110"/>
      <c r="V49" s="55"/>
    </row>
    <row r="50" spans="1:22" hidden="1" x14ac:dyDescent="0.4">
      <c r="A50" s="118">
        <f>'Quadro Geral'!A51</f>
        <v>0</v>
      </c>
      <c r="B50" s="118">
        <f>'Quadro Geral'!B51</f>
        <v>0</v>
      </c>
      <c r="C50" s="119">
        <f>'Quadro Geral'!C51</f>
        <v>0</v>
      </c>
      <c r="D50" s="120">
        <f>'Quadro Geral'!I51</f>
        <v>0</v>
      </c>
      <c r="E50" s="104"/>
      <c r="F50" s="111"/>
      <c r="G50" s="111"/>
      <c r="H50" s="111"/>
      <c r="I50" s="111"/>
      <c r="J50" s="111"/>
      <c r="K50" s="111"/>
      <c r="L50" s="111"/>
      <c r="M50" s="111"/>
      <c r="N50" s="111"/>
      <c r="O50" s="121">
        <f t="shared" si="1"/>
        <v>0</v>
      </c>
      <c r="P50" s="111"/>
      <c r="Q50" s="121">
        <f t="shared" si="2"/>
        <v>0</v>
      </c>
      <c r="R50" s="122">
        <f t="shared" si="0"/>
        <v>0</v>
      </c>
      <c r="S50" s="123"/>
      <c r="T50" s="110"/>
      <c r="V50" s="55"/>
    </row>
    <row r="51" spans="1:22" hidden="1" x14ac:dyDescent="0.4">
      <c r="A51" s="118">
        <f>'Quadro Geral'!A52</f>
        <v>0</v>
      </c>
      <c r="B51" s="118">
        <f>'Quadro Geral'!B52</f>
        <v>0</v>
      </c>
      <c r="C51" s="119">
        <f>'Quadro Geral'!C52</f>
        <v>0</v>
      </c>
      <c r="D51" s="120">
        <f>'Quadro Geral'!I52</f>
        <v>0</v>
      </c>
      <c r="E51" s="104"/>
      <c r="F51" s="111"/>
      <c r="G51" s="111"/>
      <c r="H51" s="111"/>
      <c r="I51" s="111"/>
      <c r="J51" s="111"/>
      <c r="K51" s="111"/>
      <c r="L51" s="111"/>
      <c r="M51" s="111"/>
      <c r="N51" s="111"/>
      <c r="O51" s="121">
        <f t="shared" si="1"/>
        <v>0</v>
      </c>
      <c r="P51" s="111"/>
      <c r="Q51" s="121">
        <f t="shared" si="2"/>
        <v>0</v>
      </c>
      <c r="R51" s="122">
        <f t="shared" si="0"/>
        <v>0</v>
      </c>
      <c r="S51" s="123"/>
      <c r="T51" s="110"/>
      <c r="V51" s="55"/>
    </row>
    <row r="52" spans="1:22" hidden="1" x14ac:dyDescent="0.4">
      <c r="A52" s="118">
        <f>'Quadro Geral'!A53</f>
        <v>0</v>
      </c>
      <c r="B52" s="118">
        <f>'Quadro Geral'!B53</f>
        <v>0</v>
      </c>
      <c r="C52" s="119">
        <f>'Quadro Geral'!C53</f>
        <v>0</v>
      </c>
      <c r="D52" s="120">
        <f>'Quadro Geral'!I53</f>
        <v>0</v>
      </c>
      <c r="E52" s="104"/>
      <c r="F52" s="111"/>
      <c r="G52" s="111"/>
      <c r="H52" s="111"/>
      <c r="I52" s="111"/>
      <c r="J52" s="111"/>
      <c r="K52" s="111"/>
      <c r="L52" s="111"/>
      <c r="M52" s="111"/>
      <c r="N52" s="111"/>
      <c r="O52" s="121">
        <f t="shared" si="1"/>
        <v>0</v>
      </c>
      <c r="P52" s="111"/>
      <c r="Q52" s="121">
        <f t="shared" si="2"/>
        <v>0</v>
      </c>
      <c r="R52" s="122">
        <f t="shared" si="0"/>
        <v>0</v>
      </c>
      <c r="S52" s="123"/>
      <c r="T52" s="110"/>
      <c r="V52" s="55"/>
    </row>
    <row r="53" spans="1:22" hidden="1" x14ac:dyDescent="0.4">
      <c r="A53" s="118">
        <f>'Quadro Geral'!A54</f>
        <v>0</v>
      </c>
      <c r="B53" s="118">
        <f>'Quadro Geral'!B54</f>
        <v>0</v>
      </c>
      <c r="C53" s="119">
        <f>'Quadro Geral'!C54</f>
        <v>0</v>
      </c>
      <c r="D53" s="120">
        <f>'Quadro Geral'!I54</f>
        <v>0</v>
      </c>
      <c r="E53" s="104"/>
      <c r="F53" s="111"/>
      <c r="G53" s="111"/>
      <c r="H53" s="111"/>
      <c r="I53" s="111"/>
      <c r="J53" s="111"/>
      <c r="K53" s="111"/>
      <c r="L53" s="111"/>
      <c r="M53" s="111"/>
      <c r="N53" s="111"/>
      <c r="O53" s="121">
        <f t="shared" si="1"/>
        <v>0</v>
      </c>
      <c r="P53" s="111"/>
      <c r="Q53" s="121">
        <f t="shared" si="2"/>
        <v>0</v>
      </c>
      <c r="R53" s="122">
        <f t="shared" si="0"/>
        <v>0</v>
      </c>
      <c r="S53" s="123"/>
      <c r="T53" s="110"/>
      <c r="V53" s="55"/>
    </row>
    <row r="54" spans="1:22" hidden="1" x14ac:dyDescent="0.4">
      <c r="A54" s="118">
        <f>'Quadro Geral'!A55</f>
        <v>0</v>
      </c>
      <c r="B54" s="118">
        <f>'Quadro Geral'!B55</f>
        <v>0</v>
      </c>
      <c r="C54" s="119">
        <f>'Quadro Geral'!C55</f>
        <v>0</v>
      </c>
      <c r="D54" s="120">
        <f>'Quadro Geral'!I55</f>
        <v>0</v>
      </c>
      <c r="E54" s="104"/>
      <c r="F54" s="111"/>
      <c r="G54" s="111"/>
      <c r="H54" s="111"/>
      <c r="I54" s="111"/>
      <c r="J54" s="111"/>
      <c r="K54" s="111"/>
      <c r="L54" s="111"/>
      <c r="M54" s="111"/>
      <c r="N54" s="111"/>
      <c r="O54" s="121">
        <f t="shared" si="1"/>
        <v>0</v>
      </c>
      <c r="P54" s="111"/>
      <c r="Q54" s="121">
        <f t="shared" si="2"/>
        <v>0</v>
      </c>
      <c r="R54" s="122">
        <f t="shared" si="0"/>
        <v>0</v>
      </c>
      <c r="S54" s="123"/>
      <c r="T54" s="110"/>
      <c r="V54" s="55"/>
    </row>
    <row r="55" spans="1:22" hidden="1" x14ac:dyDescent="0.4">
      <c r="A55" s="118">
        <f>'Quadro Geral'!A56</f>
        <v>0</v>
      </c>
      <c r="B55" s="118">
        <f>'Quadro Geral'!B56</f>
        <v>0</v>
      </c>
      <c r="C55" s="119">
        <f>'Quadro Geral'!C56</f>
        <v>0</v>
      </c>
      <c r="D55" s="120">
        <f>'Quadro Geral'!I56</f>
        <v>0</v>
      </c>
      <c r="E55" s="104"/>
      <c r="F55" s="111"/>
      <c r="G55" s="111"/>
      <c r="H55" s="111"/>
      <c r="I55" s="111"/>
      <c r="J55" s="111"/>
      <c r="K55" s="111"/>
      <c r="L55" s="111"/>
      <c r="M55" s="111"/>
      <c r="N55" s="111"/>
      <c r="O55" s="121">
        <f t="shared" si="1"/>
        <v>0</v>
      </c>
      <c r="P55" s="111"/>
      <c r="Q55" s="121">
        <f t="shared" si="2"/>
        <v>0</v>
      </c>
      <c r="R55" s="122">
        <f t="shared" si="0"/>
        <v>0</v>
      </c>
      <c r="S55" s="123"/>
      <c r="T55" s="110"/>
      <c r="V55" s="55"/>
    </row>
    <row r="56" spans="1:22" hidden="1" x14ac:dyDescent="0.4">
      <c r="A56" s="118">
        <f>'Quadro Geral'!A57</f>
        <v>0</v>
      </c>
      <c r="B56" s="118">
        <f>'Quadro Geral'!B57</f>
        <v>0</v>
      </c>
      <c r="C56" s="119">
        <f>'Quadro Geral'!C57</f>
        <v>0</v>
      </c>
      <c r="D56" s="120">
        <f>'Quadro Geral'!I57</f>
        <v>0</v>
      </c>
      <c r="E56" s="104"/>
      <c r="F56" s="111"/>
      <c r="G56" s="111"/>
      <c r="H56" s="111"/>
      <c r="I56" s="111"/>
      <c r="J56" s="111"/>
      <c r="K56" s="111"/>
      <c r="L56" s="111"/>
      <c r="M56" s="111"/>
      <c r="N56" s="111"/>
      <c r="O56" s="121">
        <f t="shared" si="1"/>
        <v>0</v>
      </c>
      <c r="P56" s="111"/>
      <c r="Q56" s="121">
        <f t="shared" si="2"/>
        <v>0</v>
      </c>
      <c r="R56" s="122">
        <f t="shared" si="0"/>
        <v>0</v>
      </c>
      <c r="S56" s="123"/>
      <c r="T56" s="110"/>
      <c r="V56" s="55"/>
    </row>
    <row r="57" spans="1:22" hidden="1" x14ac:dyDescent="0.4">
      <c r="A57" s="118">
        <f>'Quadro Geral'!A58</f>
        <v>0</v>
      </c>
      <c r="B57" s="118">
        <f>'Quadro Geral'!B58</f>
        <v>0</v>
      </c>
      <c r="C57" s="119">
        <f>'Quadro Geral'!C58</f>
        <v>0</v>
      </c>
      <c r="D57" s="120">
        <f>'Quadro Geral'!I58</f>
        <v>0</v>
      </c>
      <c r="E57" s="104"/>
      <c r="F57" s="111"/>
      <c r="G57" s="111"/>
      <c r="H57" s="111"/>
      <c r="I57" s="111"/>
      <c r="J57" s="111"/>
      <c r="K57" s="111"/>
      <c r="L57" s="111"/>
      <c r="M57" s="111"/>
      <c r="N57" s="111"/>
      <c r="O57" s="121">
        <f t="shared" si="1"/>
        <v>0</v>
      </c>
      <c r="P57" s="111"/>
      <c r="Q57" s="121">
        <f t="shared" si="2"/>
        <v>0</v>
      </c>
      <c r="R57" s="122">
        <f t="shared" si="0"/>
        <v>0</v>
      </c>
      <c r="S57" s="123"/>
      <c r="T57" s="110"/>
      <c r="V57" s="55"/>
    </row>
    <row r="58" spans="1:22" hidden="1" x14ac:dyDescent="0.4">
      <c r="A58" s="118">
        <f>'Quadro Geral'!A59</f>
        <v>0</v>
      </c>
      <c r="B58" s="118">
        <f>'Quadro Geral'!B59</f>
        <v>0</v>
      </c>
      <c r="C58" s="119">
        <f>'Quadro Geral'!C59</f>
        <v>0</v>
      </c>
      <c r="D58" s="120">
        <f>'Quadro Geral'!I59</f>
        <v>0</v>
      </c>
      <c r="E58" s="104"/>
      <c r="F58" s="111"/>
      <c r="G58" s="111"/>
      <c r="H58" s="111"/>
      <c r="I58" s="111"/>
      <c r="J58" s="111"/>
      <c r="K58" s="111"/>
      <c r="L58" s="111"/>
      <c r="M58" s="111"/>
      <c r="N58" s="111"/>
      <c r="O58" s="121">
        <f t="shared" si="1"/>
        <v>0</v>
      </c>
      <c r="P58" s="111"/>
      <c r="Q58" s="121">
        <f t="shared" si="2"/>
        <v>0</v>
      </c>
      <c r="R58" s="122">
        <f t="shared" si="0"/>
        <v>0</v>
      </c>
      <c r="S58" s="123"/>
      <c r="T58" s="110"/>
      <c r="V58" s="55"/>
    </row>
    <row r="59" spans="1:22" hidden="1" x14ac:dyDescent="0.4">
      <c r="A59" s="118">
        <f>'Quadro Geral'!A60</f>
        <v>0</v>
      </c>
      <c r="B59" s="118">
        <f>'Quadro Geral'!B60</f>
        <v>0</v>
      </c>
      <c r="C59" s="119">
        <f>'Quadro Geral'!C60</f>
        <v>0</v>
      </c>
      <c r="D59" s="120">
        <f>'Quadro Geral'!I60</f>
        <v>0</v>
      </c>
      <c r="E59" s="104"/>
      <c r="F59" s="111"/>
      <c r="G59" s="111"/>
      <c r="H59" s="111"/>
      <c r="I59" s="111"/>
      <c r="J59" s="111"/>
      <c r="K59" s="111"/>
      <c r="L59" s="111"/>
      <c r="M59" s="111"/>
      <c r="N59" s="111"/>
      <c r="O59" s="121">
        <f t="shared" si="1"/>
        <v>0</v>
      </c>
      <c r="P59" s="111"/>
      <c r="Q59" s="121">
        <f t="shared" si="2"/>
        <v>0</v>
      </c>
      <c r="R59" s="122">
        <f t="shared" si="0"/>
        <v>0</v>
      </c>
      <c r="S59" s="123"/>
      <c r="T59" s="110"/>
      <c r="V59" s="55"/>
    </row>
    <row r="60" spans="1:22" hidden="1" x14ac:dyDescent="0.4">
      <c r="A60" s="118">
        <f>'Quadro Geral'!A61</f>
        <v>0</v>
      </c>
      <c r="B60" s="118">
        <f>'Quadro Geral'!B61</f>
        <v>0</v>
      </c>
      <c r="C60" s="119">
        <f>'Quadro Geral'!C61</f>
        <v>0</v>
      </c>
      <c r="D60" s="120">
        <f>'Quadro Geral'!I61</f>
        <v>0</v>
      </c>
      <c r="E60" s="104"/>
      <c r="F60" s="111"/>
      <c r="G60" s="111"/>
      <c r="H60" s="111"/>
      <c r="I60" s="111"/>
      <c r="J60" s="111"/>
      <c r="K60" s="111"/>
      <c r="L60" s="111"/>
      <c r="M60" s="111"/>
      <c r="N60" s="111"/>
      <c r="O60" s="121">
        <f t="shared" si="1"/>
        <v>0</v>
      </c>
      <c r="P60" s="111"/>
      <c r="Q60" s="121">
        <f t="shared" si="2"/>
        <v>0</v>
      </c>
      <c r="R60" s="122">
        <f t="shared" si="0"/>
        <v>0</v>
      </c>
      <c r="S60" s="123"/>
      <c r="T60" s="110"/>
      <c r="V60" s="55"/>
    </row>
    <row r="61" spans="1:22" hidden="1" x14ac:dyDescent="0.4">
      <c r="A61" s="118">
        <f>'Quadro Geral'!A62</f>
        <v>0</v>
      </c>
      <c r="B61" s="118">
        <f>'Quadro Geral'!B62</f>
        <v>0</v>
      </c>
      <c r="C61" s="119">
        <f>'Quadro Geral'!C62</f>
        <v>0</v>
      </c>
      <c r="D61" s="120">
        <f>'Quadro Geral'!I62</f>
        <v>0</v>
      </c>
      <c r="E61" s="104"/>
      <c r="F61" s="111"/>
      <c r="G61" s="111"/>
      <c r="H61" s="111"/>
      <c r="I61" s="111"/>
      <c r="J61" s="111"/>
      <c r="K61" s="111"/>
      <c r="L61" s="111"/>
      <c r="M61" s="111"/>
      <c r="N61" s="111"/>
      <c r="O61" s="121">
        <f t="shared" si="1"/>
        <v>0</v>
      </c>
      <c r="P61" s="111"/>
      <c r="Q61" s="121">
        <f t="shared" si="2"/>
        <v>0</v>
      </c>
      <c r="R61" s="122">
        <f t="shared" si="0"/>
        <v>0</v>
      </c>
      <c r="S61" s="123"/>
      <c r="T61" s="110"/>
      <c r="V61" s="55"/>
    </row>
    <row r="62" spans="1:22" hidden="1" x14ac:dyDescent="0.4">
      <c r="A62" s="118">
        <f>'Quadro Geral'!A63</f>
        <v>0</v>
      </c>
      <c r="B62" s="118">
        <f>'Quadro Geral'!B63</f>
        <v>0</v>
      </c>
      <c r="C62" s="119">
        <f>'Quadro Geral'!C63</f>
        <v>0</v>
      </c>
      <c r="D62" s="120">
        <f>'Quadro Geral'!I63</f>
        <v>0</v>
      </c>
      <c r="E62" s="104"/>
      <c r="F62" s="111"/>
      <c r="G62" s="111"/>
      <c r="H62" s="111"/>
      <c r="I62" s="111"/>
      <c r="J62" s="111"/>
      <c r="K62" s="111"/>
      <c r="L62" s="111"/>
      <c r="M62" s="111"/>
      <c r="N62" s="111"/>
      <c r="O62" s="121">
        <f t="shared" si="1"/>
        <v>0</v>
      </c>
      <c r="P62" s="111"/>
      <c r="Q62" s="121">
        <f t="shared" si="2"/>
        <v>0</v>
      </c>
      <c r="R62" s="122">
        <f t="shared" si="0"/>
        <v>0</v>
      </c>
      <c r="S62" s="123"/>
      <c r="T62" s="110"/>
      <c r="V62" s="55"/>
    </row>
    <row r="63" spans="1:22" hidden="1" x14ac:dyDescent="0.4">
      <c r="A63" s="118">
        <f>'Quadro Geral'!A64</f>
        <v>0</v>
      </c>
      <c r="B63" s="118">
        <f>'Quadro Geral'!B64</f>
        <v>0</v>
      </c>
      <c r="C63" s="119">
        <f>'Quadro Geral'!C64</f>
        <v>0</v>
      </c>
      <c r="D63" s="120">
        <f>'Quadro Geral'!I64</f>
        <v>0</v>
      </c>
      <c r="E63" s="104"/>
      <c r="F63" s="111"/>
      <c r="G63" s="111"/>
      <c r="H63" s="111"/>
      <c r="I63" s="111"/>
      <c r="J63" s="111"/>
      <c r="K63" s="111"/>
      <c r="L63" s="111"/>
      <c r="M63" s="111"/>
      <c r="N63" s="111"/>
      <c r="O63" s="121">
        <f t="shared" si="1"/>
        <v>0</v>
      </c>
      <c r="P63" s="111"/>
      <c r="Q63" s="121">
        <f t="shared" si="2"/>
        <v>0</v>
      </c>
      <c r="R63" s="122">
        <f t="shared" si="0"/>
        <v>0</v>
      </c>
      <c r="S63" s="123"/>
      <c r="T63" s="110"/>
      <c r="V63" s="55"/>
    </row>
    <row r="64" spans="1:22" hidden="1" x14ac:dyDescent="0.4">
      <c r="A64" s="118">
        <f>'Quadro Geral'!A65</f>
        <v>0</v>
      </c>
      <c r="B64" s="118">
        <f>'Quadro Geral'!B65</f>
        <v>0</v>
      </c>
      <c r="C64" s="119">
        <f>'Quadro Geral'!C65</f>
        <v>0</v>
      </c>
      <c r="D64" s="120">
        <f>'Quadro Geral'!I65</f>
        <v>0</v>
      </c>
      <c r="E64" s="104"/>
      <c r="F64" s="111"/>
      <c r="G64" s="111"/>
      <c r="H64" s="111"/>
      <c r="I64" s="111"/>
      <c r="J64" s="111"/>
      <c r="K64" s="111"/>
      <c r="L64" s="111"/>
      <c r="M64" s="111"/>
      <c r="N64" s="111"/>
      <c r="O64" s="121">
        <f t="shared" si="1"/>
        <v>0</v>
      </c>
      <c r="P64" s="111"/>
      <c r="Q64" s="121">
        <f t="shared" si="2"/>
        <v>0</v>
      </c>
      <c r="R64" s="122">
        <f t="shared" si="0"/>
        <v>0</v>
      </c>
      <c r="S64" s="123"/>
      <c r="T64" s="110"/>
      <c r="V64" s="55"/>
    </row>
    <row r="65" spans="1:22" hidden="1" x14ac:dyDescent="0.4">
      <c r="A65" s="118">
        <f>'Quadro Geral'!A66</f>
        <v>0</v>
      </c>
      <c r="B65" s="118">
        <f>'Quadro Geral'!B66</f>
        <v>0</v>
      </c>
      <c r="C65" s="119">
        <f>'Quadro Geral'!C66</f>
        <v>0</v>
      </c>
      <c r="D65" s="120">
        <f>'Quadro Geral'!I66</f>
        <v>0</v>
      </c>
      <c r="E65" s="104"/>
      <c r="F65" s="111"/>
      <c r="G65" s="111"/>
      <c r="H65" s="111"/>
      <c r="I65" s="111"/>
      <c r="J65" s="111"/>
      <c r="K65" s="111"/>
      <c r="L65" s="111"/>
      <c r="M65" s="111"/>
      <c r="N65" s="111"/>
      <c r="O65" s="121">
        <f t="shared" si="1"/>
        <v>0</v>
      </c>
      <c r="P65" s="111"/>
      <c r="Q65" s="121">
        <f t="shared" si="2"/>
        <v>0</v>
      </c>
      <c r="R65" s="122">
        <f t="shared" si="0"/>
        <v>0</v>
      </c>
      <c r="S65" s="123"/>
      <c r="T65" s="110"/>
      <c r="V65" s="55"/>
    </row>
    <row r="66" spans="1:22" hidden="1" x14ac:dyDescent="0.4">
      <c r="A66" s="118">
        <f>'Quadro Geral'!A67</f>
        <v>0</v>
      </c>
      <c r="B66" s="118">
        <f>'Quadro Geral'!B67</f>
        <v>0</v>
      </c>
      <c r="C66" s="119">
        <f>'Quadro Geral'!C67</f>
        <v>0</v>
      </c>
      <c r="D66" s="120">
        <f>'Quadro Geral'!I67</f>
        <v>0</v>
      </c>
      <c r="E66" s="104"/>
      <c r="F66" s="111"/>
      <c r="G66" s="111"/>
      <c r="H66" s="111"/>
      <c r="I66" s="111"/>
      <c r="J66" s="111"/>
      <c r="K66" s="111"/>
      <c r="L66" s="111"/>
      <c r="M66" s="111"/>
      <c r="N66" s="111"/>
      <c r="O66" s="121">
        <f t="shared" si="1"/>
        <v>0</v>
      </c>
      <c r="P66" s="111"/>
      <c r="Q66" s="121">
        <f t="shared" si="2"/>
        <v>0</v>
      </c>
      <c r="R66" s="122">
        <f t="shared" si="0"/>
        <v>0</v>
      </c>
      <c r="S66" s="123"/>
      <c r="T66" s="110"/>
      <c r="V66" s="55"/>
    </row>
    <row r="67" spans="1:22" hidden="1" x14ac:dyDescent="0.4">
      <c r="A67" s="118">
        <f>'Quadro Geral'!A68</f>
        <v>0</v>
      </c>
      <c r="B67" s="118">
        <f>'Quadro Geral'!B68</f>
        <v>0</v>
      </c>
      <c r="C67" s="119">
        <f>'Quadro Geral'!C68</f>
        <v>0</v>
      </c>
      <c r="D67" s="120">
        <f>'Quadro Geral'!I68</f>
        <v>0</v>
      </c>
      <c r="E67" s="104"/>
      <c r="F67" s="111"/>
      <c r="G67" s="111"/>
      <c r="H67" s="111"/>
      <c r="I67" s="111"/>
      <c r="J67" s="111"/>
      <c r="K67" s="111"/>
      <c r="L67" s="111"/>
      <c r="M67" s="111"/>
      <c r="N67" s="111"/>
      <c r="O67" s="121">
        <f t="shared" si="1"/>
        <v>0</v>
      </c>
      <c r="P67" s="111"/>
      <c r="Q67" s="121">
        <f t="shared" si="2"/>
        <v>0</v>
      </c>
      <c r="R67" s="122">
        <f t="shared" si="0"/>
        <v>0</v>
      </c>
      <c r="S67" s="123"/>
      <c r="T67" s="110"/>
      <c r="V67" s="55"/>
    </row>
    <row r="68" spans="1:22" hidden="1" x14ac:dyDescent="0.4">
      <c r="A68" s="118">
        <f>'Quadro Geral'!A69</f>
        <v>0</v>
      </c>
      <c r="B68" s="118">
        <f>'Quadro Geral'!B69</f>
        <v>0</v>
      </c>
      <c r="C68" s="119">
        <f>'Quadro Geral'!C69</f>
        <v>0</v>
      </c>
      <c r="D68" s="120">
        <f>'Quadro Geral'!I69</f>
        <v>0</v>
      </c>
      <c r="E68" s="104"/>
      <c r="F68" s="111"/>
      <c r="G68" s="111"/>
      <c r="H68" s="111"/>
      <c r="I68" s="111"/>
      <c r="J68" s="111"/>
      <c r="K68" s="111"/>
      <c r="L68" s="111"/>
      <c r="M68" s="111"/>
      <c r="N68" s="111"/>
      <c r="O68" s="121">
        <f t="shared" si="1"/>
        <v>0</v>
      </c>
      <c r="P68" s="111"/>
      <c r="Q68" s="121">
        <f t="shared" si="2"/>
        <v>0</v>
      </c>
      <c r="R68" s="122">
        <f t="shared" si="0"/>
        <v>0</v>
      </c>
      <c r="S68" s="123"/>
      <c r="T68" s="110"/>
      <c r="V68" s="55"/>
    </row>
    <row r="69" spans="1:22" hidden="1" x14ac:dyDescent="0.4">
      <c r="A69" s="118">
        <f>'Quadro Geral'!A70</f>
        <v>0</v>
      </c>
      <c r="B69" s="118">
        <f>'Quadro Geral'!B70</f>
        <v>0</v>
      </c>
      <c r="C69" s="119">
        <f>'Quadro Geral'!C70</f>
        <v>0</v>
      </c>
      <c r="D69" s="120">
        <f>'Quadro Geral'!I70</f>
        <v>0</v>
      </c>
      <c r="E69" s="104"/>
      <c r="F69" s="111"/>
      <c r="G69" s="111"/>
      <c r="H69" s="111"/>
      <c r="I69" s="111"/>
      <c r="J69" s="111"/>
      <c r="K69" s="111"/>
      <c r="L69" s="111"/>
      <c r="M69" s="111"/>
      <c r="N69" s="111"/>
      <c r="O69" s="121">
        <f t="shared" si="1"/>
        <v>0</v>
      </c>
      <c r="P69" s="111"/>
      <c r="Q69" s="121">
        <f t="shared" si="2"/>
        <v>0</v>
      </c>
      <c r="R69" s="122">
        <f t="shared" si="0"/>
        <v>0</v>
      </c>
      <c r="S69" s="123"/>
      <c r="T69" s="110"/>
      <c r="V69" s="55"/>
    </row>
    <row r="70" spans="1:22" hidden="1" x14ac:dyDescent="0.4">
      <c r="A70" s="118">
        <f>'Quadro Geral'!A71</f>
        <v>0</v>
      </c>
      <c r="B70" s="118">
        <f>'Quadro Geral'!B71</f>
        <v>0</v>
      </c>
      <c r="C70" s="119">
        <f>'Quadro Geral'!C71</f>
        <v>0</v>
      </c>
      <c r="D70" s="120">
        <f>'Quadro Geral'!I71</f>
        <v>0</v>
      </c>
      <c r="E70" s="104"/>
      <c r="F70" s="111"/>
      <c r="G70" s="111"/>
      <c r="H70" s="111"/>
      <c r="I70" s="111"/>
      <c r="J70" s="111"/>
      <c r="K70" s="111"/>
      <c r="L70" s="111"/>
      <c r="M70" s="111"/>
      <c r="N70" s="111"/>
      <c r="O70" s="121">
        <f t="shared" si="1"/>
        <v>0</v>
      </c>
      <c r="P70" s="111"/>
      <c r="Q70" s="121">
        <f t="shared" si="2"/>
        <v>0</v>
      </c>
      <c r="R70" s="122">
        <f t="shared" si="0"/>
        <v>0</v>
      </c>
      <c r="S70" s="123"/>
      <c r="T70" s="110"/>
      <c r="V70" s="55"/>
    </row>
    <row r="71" spans="1:22" hidden="1" x14ac:dyDescent="0.4">
      <c r="A71" s="118">
        <f>'Quadro Geral'!A72</f>
        <v>0</v>
      </c>
      <c r="B71" s="118">
        <f>'Quadro Geral'!B72</f>
        <v>0</v>
      </c>
      <c r="C71" s="119">
        <f>'Quadro Geral'!C72</f>
        <v>0</v>
      </c>
      <c r="D71" s="120">
        <f>'Quadro Geral'!I72</f>
        <v>0</v>
      </c>
      <c r="E71" s="104"/>
      <c r="F71" s="111"/>
      <c r="G71" s="111"/>
      <c r="H71" s="111"/>
      <c r="I71" s="111"/>
      <c r="J71" s="111"/>
      <c r="K71" s="111"/>
      <c r="L71" s="111"/>
      <c r="M71" s="111"/>
      <c r="N71" s="111"/>
      <c r="O71" s="121">
        <f t="shared" si="1"/>
        <v>0</v>
      </c>
      <c r="P71" s="111"/>
      <c r="Q71" s="121">
        <f t="shared" si="2"/>
        <v>0</v>
      </c>
      <c r="R71" s="122">
        <f t="shared" ref="R71:R80" si="3">IFERROR(Q71/$Q$81*100,0)</f>
        <v>0</v>
      </c>
      <c r="S71" s="123"/>
      <c r="T71" s="110"/>
      <c r="V71" s="55"/>
    </row>
    <row r="72" spans="1:22" hidden="1" x14ac:dyDescent="0.4">
      <c r="A72" s="118">
        <f>'Quadro Geral'!A73</f>
        <v>0</v>
      </c>
      <c r="B72" s="118">
        <f>'Quadro Geral'!B73</f>
        <v>0</v>
      </c>
      <c r="C72" s="119">
        <f>'Quadro Geral'!C73</f>
        <v>0</v>
      </c>
      <c r="D72" s="120">
        <f>'Quadro Geral'!I73</f>
        <v>0</v>
      </c>
      <c r="E72" s="104"/>
      <c r="F72" s="111"/>
      <c r="G72" s="111"/>
      <c r="H72" s="111"/>
      <c r="I72" s="111"/>
      <c r="J72" s="111"/>
      <c r="K72" s="111"/>
      <c r="L72" s="111"/>
      <c r="M72" s="111"/>
      <c r="N72" s="111"/>
      <c r="O72" s="121">
        <f t="shared" ref="O72:O80" si="4">SUM(F72:N72)</f>
        <v>0</v>
      </c>
      <c r="P72" s="111"/>
      <c r="Q72" s="121">
        <f t="shared" ref="Q72:Q80" si="5">O72+P72</f>
        <v>0</v>
      </c>
      <c r="R72" s="122">
        <f t="shared" si="3"/>
        <v>0</v>
      </c>
      <c r="S72" s="123"/>
      <c r="T72" s="110"/>
      <c r="V72" s="55"/>
    </row>
    <row r="73" spans="1:22" hidden="1" x14ac:dyDescent="0.4">
      <c r="A73" s="118">
        <f>'Quadro Geral'!A74</f>
        <v>0</v>
      </c>
      <c r="B73" s="118">
        <f>'Quadro Geral'!B74</f>
        <v>0</v>
      </c>
      <c r="C73" s="119">
        <f>'Quadro Geral'!C74</f>
        <v>0</v>
      </c>
      <c r="D73" s="120">
        <f>'Quadro Geral'!I74</f>
        <v>0</v>
      </c>
      <c r="E73" s="104"/>
      <c r="F73" s="111"/>
      <c r="G73" s="111"/>
      <c r="H73" s="111"/>
      <c r="I73" s="111"/>
      <c r="J73" s="111"/>
      <c r="K73" s="111"/>
      <c r="L73" s="111"/>
      <c r="M73" s="111"/>
      <c r="N73" s="111"/>
      <c r="O73" s="121">
        <f t="shared" si="4"/>
        <v>0</v>
      </c>
      <c r="P73" s="111"/>
      <c r="Q73" s="121">
        <f t="shared" si="5"/>
        <v>0</v>
      </c>
      <c r="R73" s="122">
        <f t="shared" si="3"/>
        <v>0</v>
      </c>
      <c r="S73" s="123"/>
      <c r="T73" s="110"/>
      <c r="V73" s="55"/>
    </row>
    <row r="74" spans="1:22" hidden="1" x14ac:dyDescent="0.4">
      <c r="A74" s="118">
        <f>'Quadro Geral'!A75</f>
        <v>0</v>
      </c>
      <c r="B74" s="118">
        <f>'Quadro Geral'!B75</f>
        <v>0</v>
      </c>
      <c r="C74" s="119">
        <f>'Quadro Geral'!C75</f>
        <v>0</v>
      </c>
      <c r="D74" s="120">
        <f>'Quadro Geral'!I75</f>
        <v>0</v>
      </c>
      <c r="E74" s="104"/>
      <c r="F74" s="111"/>
      <c r="G74" s="111"/>
      <c r="H74" s="111"/>
      <c r="I74" s="111"/>
      <c r="J74" s="111"/>
      <c r="K74" s="111"/>
      <c r="L74" s="111"/>
      <c r="M74" s="111"/>
      <c r="N74" s="111"/>
      <c r="O74" s="121">
        <f t="shared" si="4"/>
        <v>0</v>
      </c>
      <c r="P74" s="111"/>
      <c r="Q74" s="121">
        <f t="shared" si="5"/>
        <v>0</v>
      </c>
      <c r="R74" s="122">
        <f t="shared" si="3"/>
        <v>0</v>
      </c>
      <c r="S74" s="123"/>
      <c r="T74" s="110"/>
      <c r="V74" s="55"/>
    </row>
    <row r="75" spans="1:22" hidden="1" x14ac:dyDescent="0.4">
      <c r="A75" s="118">
        <f>'Quadro Geral'!A76</f>
        <v>0</v>
      </c>
      <c r="B75" s="118">
        <f>'Quadro Geral'!B76</f>
        <v>0</v>
      </c>
      <c r="C75" s="119">
        <f>'Quadro Geral'!C76</f>
        <v>0</v>
      </c>
      <c r="D75" s="120">
        <f>'Quadro Geral'!I76</f>
        <v>0</v>
      </c>
      <c r="E75" s="104"/>
      <c r="F75" s="111"/>
      <c r="G75" s="111"/>
      <c r="H75" s="111"/>
      <c r="I75" s="111"/>
      <c r="J75" s="111"/>
      <c r="K75" s="111"/>
      <c r="L75" s="111"/>
      <c r="M75" s="111"/>
      <c r="N75" s="111"/>
      <c r="O75" s="121">
        <f t="shared" si="4"/>
        <v>0</v>
      </c>
      <c r="P75" s="111"/>
      <c r="Q75" s="121">
        <f t="shared" si="5"/>
        <v>0</v>
      </c>
      <c r="R75" s="122">
        <f t="shared" si="3"/>
        <v>0</v>
      </c>
      <c r="S75" s="123"/>
      <c r="T75" s="110"/>
      <c r="V75" s="55"/>
    </row>
    <row r="76" spans="1:22" hidden="1" x14ac:dyDescent="0.4">
      <c r="A76" s="118">
        <f>'Quadro Geral'!A77</f>
        <v>0</v>
      </c>
      <c r="B76" s="118">
        <f>'Quadro Geral'!B77</f>
        <v>0</v>
      </c>
      <c r="C76" s="119">
        <f>'Quadro Geral'!C77</f>
        <v>0</v>
      </c>
      <c r="D76" s="120">
        <f>'Quadro Geral'!I77</f>
        <v>0</v>
      </c>
      <c r="E76" s="104"/>
      <c r="F76" s="111"/>
      <c r="G76" s="111"/>
      <c r="H76" s="111"/>
      <c r="I76" s="111"/>
      <c r="J76" s="111"/>
      <c r="K76" s="111"/>
      <c r="L76" s="111"/>
      <c r="M76" s="111"/>
      <c r="N76" s="111"/>
      <c r="O76" s="121">
        <f t="shared" si="4"/>
        <v>0</v>
      </c>
      <c r="P76" s="111"/>
      <c r="Q76" s="121">
        <f t="shared" si="5"/>
        <v>0</v>
      </c>
      <c r="R76" s="122">
        <f t="shared" si="3"/>
        <v>0</v>
      </c>
      <c r="S76" s="123"/>
      <c r="T76" s="110"/>
      <c r="V76" s="55"/>
    </row>
    <row r="77" spans="1:22" hidden="1" x14ac:dyDescent="0.4">
      <c r="A77" s="118">
        <f>'Quadro Geral'!A78</f>
        <v>0</v>
      </c>
      <c r="B77" s="118">
        <f>'Quadro Geral'!B78</f>
        <v>0</v>
      </c>
      <c r="C77" s="119">
        <f>'Quadro Geral'!C78</f>
        <v>0</v>
      </c>
      <c r="D77" s="120">
        <f>'Quadro Geral'!I78</f>
        <v>0</v>
      </c>
      <c r="E77" s="104"/>
      <c r="F77" s="111"/>
      <c r="G77" s="111"/>
      <c r="H77" s="111"/>
      <c r="I77" s="111"/>
      <c r="J77" s="111"/>
      <c r="K77" s="111"/>
      <c r="L77" s="111"/>
      <c r="M77" s="111"/>
      <c r="N77" s="111"/>
      <c r="O77" s="121">
        <f t="shared" si="4"/>
        <v>0</v>
      </c>
      <c r="P77" s="111"/>
      <c r="Q77" s="121">
        <f t="shared" si="5"/>
        <v>0</v>
      </c>
      <c r="R77" s="122">
        <f t="shared" si="3"/>
        <v>0</v>
      </c>
      <c r="S77" s="123"/>
      <c r="T77" s="110"/>
      <c r="V77" s="55"/>
    </row>
    <row r="78" spans="1:22" hidden="1" x14ac:dyDescent="0.4">
      <c r="A78" s="118">
        <f>'Quadro Geral'!A79</f>
        <v>0</v>
      </c>
      <c r="B78" s="118">
        <f>'Quadro Geral'!B79</f>
        <v>0</v>
      </c>
      <c r="C78" s="119">
        <f>'Quadro Geral'!C79</f>
        <v>0</v>
      </c>
      <c r="D78" s="120">
        <f>'Quadro Geral'!I79</f>
        <v>0</v>
      </c>
      <c r="E78" s="104"/>
      <c r="F78" s="111"/>
      <c r="G78" s="111"/>
      <c r="H78" s="111"/>
      <c r="I78" s="111"/>
      <c r="J78" s="111"/>
      <c r="K78" s="111"/>
      <c r="L78" s="111"/>
      <c r="M78" s="111"/>
      <c r="N78" s="111"/>
      <c r="O78" s="121">
        <f t="shared" si="4"/>
        <v>0</v>
      </c>
      <c r="P78" s="111"/>
      <c r="Q78" s="121">
        <f t="shared" si="5"/>
        <v>0</v>
      </c>
      <c r="R78" s="122">
        <f t="shared" si="3"/>
        <v>0</v>
      </c>
      <c r="S78" s="123"/>
      <c r="T78" s="110"/>
      <c r="V78" s="55"/>
    </row>
    <row r="79" spans="1:22" hidden="1" x14ac:dyDescent="0.4">
      <c r="A79" s="118">
        <f>'Quadro Geral'!A80</f>
        <v>0</v>
      </c>
      <c r="B79" s="118">
        <f>'Quadro Geral'!B80</f>
        <v>0</v>
      </c>
      <c r="C79" s="119">
        <f>'Quadro Geral'!C80</f>
        <v>0</v>
      </c>
      <c r="D79" s="120">
        <f>'Quadro Geral'!I80</f>
        <v>0</v>
      </c>
      <c r="E79" s="104"/>
      <c r="F79" s="111"/>
      <c r="G79" s="111"/>
      <c r="H79" s="111"/>
      <c r="I79" s="111"/>
      <c r="J79" s="111"/>
      <c r="K79" s="111"/>
      <c r="L79" s="111"/>
      <c r="M79" s="111"/>
      <c r="N79" s="111"/>
      <c r="O79" s="121">
        <f t="shared" si="4"/>
        <v>0</v>
      </c>
      <c r="P79" s="111"/>
      <c r="Q79" s="121">
        <f t="shared" si="5"/>
        <v>0</v>
      </c>
      <c r="R79" s="122">
        <f t="shared" si="3"/>
        <v>0</v>
      </c>
      <c r="S79" s="123"/>
      <c r="T79" s="110"/>
      <c r="V79" s="55"/>
    </row>
    <row r="80" spans="1:22" hidden="1" x14ac:dyDescent="0.4">
      <c r="A80" s="118">
        <f>'Quadro Geral'!A81</f>
        <v>0</v>
      </c>
      <c r="B80" s="118">
        <f>'Quadro Geral'!B81</f>
        <v>0</v>
      </c>
      <c r="C80" s="119">
        <f>'Quadro Geral'!C81</f>
        <v>0</v>
      </c>
      <c r="D80" s="120">
        <f>'Quadro Geral'!I81</f>
        <v>0</v>
      </c>
      <c r="E80" s="104"/>
      <c r="F80" s="111"/>
      <c r="G80" s="111"/>
      <c r="H80" s="111"/>
      <c r="I80" s="111"/>
      <c r="J80" s="111"/>
      <c r="K80" s="111"/>
      <c r="L80" s="111"/>
      <c r="M80" s="111"/>
      <c r="N80" s="111"/>
      <c r="O80" s="121">
        <f t="shared" si="4"/>
        <v>0</v>
      </c>
      <c r="P80" s="111"/>
      <c r="Q80" s="121">
        <f t="shared" si="5"/>
        <v>0</v>
      </c>
      <c r="R80" s="122">
        <f t="shared" si="3"/>
        <v>0</v>
      </c>
      <c r="S80" s="123"/>
      <c r="T80" s="110"/>
      <c r="V80" s="55"/>
    </row>
    <row r="81" spans="1:21" s="114" customFormat="1" x14ac:dyDescent="0.25">
      <c r="A81" s="388" t="s">
        <v>45</v>
      </c>
      <c r="B81" s="388"/>
      <c r="C81" s="388"/>
      <c r="D81" s="175">
        <f>SUM(D7:D80)</f>
        <v>11313862.569010362</v>
      </c>
      <c r="E81" s="104"/>
      <c r="F81" s="175">
        <f t="shared" ref="F81:Q81" si="6">SUM(F7:F80)</f>
        <v>2495991.66</v>
      </c>
      <c r="G81" s="175">
        <f t="shared" si="6"/>
        <v>0</v>
      </c>
      <c r="H81" s="175">
        <f t="shared" si="6"/>
        <v>72000</v>
      </c>
      <c r="I81" s="175">
        <f t="shared" si="6"/>
        <v>199000</v>
      </c>
      <c r="J81" s="175">
        <f t="shared" si="6"/>
        <v>158000</v>
      </c>
      <c r="K81" s="224">
        <f>SUM(K7:K80)</f>
        <v>2074943.2520139581</v>
      </c>
      <c r="L81" s="175">
        <f t="shared" si="6"/>
        <v>570927.65699640359</v>
      </c>
      <c r="M81" s="175">
        <f t="shared" si="6"/>
        <v>41000</v>
      </c>
      <c r="N81" s="175">
        <f t="shared" si="6"/>
        <v>112000</v>
      </c>
      <c r="O81" s="175">
        <f t="shared" si="6"/>
        <v>5723862.5690103611</v>
      </c>
      <c r="P81" s="175">
        <f t="shared" si="6"/>
        <v>5590000</v>
      </c>
      <c r="Q81" s="224">
        <f t="shared" si="6"/>
        <v>11313862.569010362</v>
      </c>
      <c r="R81" s="389">
        <f t="shared" ref="R81" si="7">IFERROR(Q81/$Q$81*100,0)</f>
        <v>100</v>
      </c>
      <c r="S81" s="123"/>
      <c r="T81" s="112"/>
      <c r="U81" s="113"/>
    </row>
    <row r="82" spans="1:21" s="114" customFormat="1" x14ac:dyDescent="0.25">
      <c r="A82" s="388" t="s">
        <v>41</v>
      </c>
      <c r="B82" s="388"/>
      <c r="C82" s="388"/>
      <c r="D82" s="388"/>
      <c r="E82" s="104"/>
      <c r="F82" s="176">
        <f>IFERROR(F81/$Q81*100,0)</f>
        <v>22.061357425683561</v>
      </c>
      <c r="G82" s="176">
        <f>IFERROR(G81/$Q81*100,0)</f>
        <v>0</v>
      </c>
      <c r="H82" s="176">
        <f t="shared" ref="H82" si="8">IFERROR(H81/$Q81*100,0)</f>
        <v>0.63638743674697063</v>
      </c>
      <c r="I82" s="176">
        <f t="shared" ref="I82:Q82" si="9">IFERROR(I81/$Q81*100,0)</f>
        <v>1.7589041654534325</v>
      </c>
      <c r="J82" s="176">
        <f t="shared" si="9"/>
        <v>1.3965168750836299</v>
      </c>
      <c r="K82" s="176">
        <f t="shared" si="9"/>
        <v>18.339830799230363</v>
      </c>
      <c r="L82" s="176">
        <f t="shared" si="9"/>
        <v>5.0462665028318741</v>
      </c>
      <c r="M82" s="176">
        <f t="shared" si="9"/>
        <v>0.36238729036980272</v>
      </c>
      <c r="N82" s="176">
        <f t="shared" si="9"/>
        <v>0.98993601271750975</v>
      </c>
      <c r="O82" s="176">
        <f t="shared" si="9"/>
        <v>50.591586508117139</v>
      </c>
      <c r="P82" s="176">
        <f t="shared" si="9"/>
        <v>49.408413491882861</v>
      </c>
      <c r="Q82" s="176">
        <f t="shared" si="9"/>
        <v>100</v>
      </c>
      <c r="R82" s="389"/>
      <c r="S82" s="194"/>
      <c r="T82" s="112"/>
      <c r="U82" s="113"/>
    </row>
    <row r="83" spans="1:21" s="117" customFormat="1" ht="25.5" x14ac:dyDescent="0.35">
      <c r="A83" s="115"/>
      <c r="B83" s="115"/>
      <c r="C83" s="116"/>
      <c r="D83" s="55" t="b">
        <f>D81='Anexo 1. Fontes e Aplicações'!D25</f>
        <v>1</v>
      </c>
      <c r="E83" s="104"/>
      <c r="F83" s="55" t="b">
        <f>F81='Anexo 2. Limites Estratégicos'!O6</f>
        <v>1</v>
      </c>
      <c r="G83" s="115"/>
      <c r="H83" s="116" t="str">
        <f>'Quadro Geral'!A83</f>
        <v>LEGENDA: P = PROJETO/ A = ATIVIDADE/ PE = PROJETO ESPECÍFICO</v>
      </c>
      <c r="I83" s="116"/>
      <c r="J83" s="116"/>
      <c r="K83" s="116"/>
      <c r="L83" s="116"/>
      <c r="M83" s="116"/>
      <c r="N83" s="116"/>
      <c r="O83" s="55" t="b">
        <f>Q81-P81=O81</f>
        <v>1</v>
      </c>
      <c r="P83" s="55" t="b">
        <f>('Anexo 1. Fontes e Aplicações'!D23-'Anexo 1. Fontes e Aplicações'!D29)='Anexo 3. Elemento de Despesas'!P81</f>
        <v>1</v>
      </c>
      <c r="Q83" s="182" t="b">
        <f>Q81='Quadro Geral'!I82</f>
        <v>1</v>
      </c>
      <c r="R83" s="116"/>
      <c r="S83" s="193"/>
      <c r="T83" s="110"/>
      <c r="U83" s="115"/>
    </row>
    <row r="84" spans="1:21" s="117" customFormat="1" ht="25.5" x14ac:dyDescent="0.35">
      <c r="A84" s="383" t="s">
        <v>155</v>
      </c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3"/>
      <c r="N84" s="383"/>
      <c r="O84" s="383"/>
      <c r="P84" s="383"/>
      <c r="Q84" s="383"/>
      <c r="R84" s="383"/>
      <c r="S84" s="193"/>
      <c r="T84" s="110"/>
      <c r="U84" s="115"/>
    </row>
    <row r="85" spans="1:21" s="117" customFormat="1" ht="321.75" customHeight="1" x14ac:dyDescent="0.35">
      <c r="A85" s="384" t="s">
        <v>301</v>
      </c>
      <c r="B85" s="384"/>
      <c r="C85" s="384"/>
      <c r="D85" s="384"/>
      <c r="E85" s="384"/>
      <c r="F85" s="384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193"/>
      <c r="T85" s="115"/>
      <c r="U85" s="115"/>
    </row>
    <row r="86" spans="1:21" x14ac:dyDescent="0.4"/>
  </sheetData>
  <mergeCells count="22">
    <mergeCell ref="A2:R2"/>
    <mergeCell ref="H5:H6"/>
    <mergeCell ref="N5:N6"/>
    <mergeCell ref="O5:O6"/>
    <mergeCell ref="P5:P6"/>
    <mergeCell ref="Q5:Q6"/>
    <mergeCell ref="A5:A6"/>
    <mergeCell ref="C5:C6"/>
    <mergeCell ref="D5:D6"/>
    <mergeCell ref="F5:G5"/>
    <mergeCell ref="A3:R3"/>
    <mergeCell ref="R5:R6"/>
    <mergeCell ref="B5:B6"/>
    <mergeCell ref="S5:S6"/>
    <mergeCell ref="A84:R84"/>
    <mergeCell ref="A85:R85"/>
    <mergeCell ref="I5:K5"/>
    <mergeCell ref="L5:L6"/>
    <mergeCell ref="M5:M6"/>
    <mergeCell ref="A81:C81"/>
    <mergeCell ref="R81:R82"/>
    <mergeCell ref="A82:D82"/>
  </mergeCells>
  <conditionalFormatting sqref="S7:S81">
    <cfRule type="cellIs" dxfId="4" priority="5" operator="equal">
      <formula>TRUE</formula>
    </cfRule>
  </conditionalFormatting>
  <conditionalFormatting sqref="D83">
    <cfRule type="cellIs" dxfId="3" priority="4" operator="equal">
      <formula>TRUE</formula>
    </cfRule>
  </conditionalFormatting>
  <conditionalFormatting sqref="F83">
    <cfRule type="cellIs" dxfId="2" priority="3" operator="equal">
      <formula>TRUE</formula>
    </cfRule>
  </conditionalFormatting>
  <conditionalFormatting sqref="P83:Q83">
    <cfRule type="cellIs" dxfId="1" priority="2" operator="equal">
      <formula>TRUE</formula>
    </cfRule>
  </conditionalFormatting>
  <conditionalFormatting sqref="O83">
    <cfRule type="cellIs" dxfId="0" priority="1" operator="equal">
      <formula>TRUE</formula>
    </cfRule>
  </conditionalFormatting>
  <pageMargins left="0.51181102362204722" right="0.51181102362204722" top="0.78740157480314965" bottom="0.78740157480314965" header="0.31496062992125984" footer="0.31496062992125984"/>
  <pageSetup scale="40" orientation="landscape" r:id="rId1"/>
  <colBreaks count="1" manualBreakCount="1">
    <brk id="18" max="1048575" man="1"/>
  </colBreaks>
  <ignoredErrors>
    <ignoredError sqref="K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34"/>
  <sheetViews>
    <sheetView topLeftCell="E1" zoomScale="150" zoomScaleNormal="150" workbookViewId="0">
      <selection activeCell="E3" sqref="E3"/>
    </sheetView>
  </sheetViews>
  <sheetFormatPr defaultRowHeight="15.75" x14ac:dyDescent="0.25"/>
  <cols>
    <col min="1" max="1" width="48.7109375" style="8" bestFit="1" customWidth="1"/>
    <col min="2" max="2" width="42.5703125" style="8" bestFit="1" customWidth="1"/>
    <col min="3" max="3" width="46.28515625" style="8" bestFit="1" customWidth="1"/>
    <col min="4" max="4" width="127.85546875" style="8" customWidth="1"/>
    <col min="5" max="8" width="9.140625" style="8"/>
    <col min="9" max="9" width="13.5703125" style="8" bestFit="1" customWidth="1"/>
    <col min="10" max="49" width="9.140625" style="8"/>
  </cols>
  <sheetData>
    <row r="1" spans="1:7" x14ac:dyDescent="0.25">
      <c r="A1" s="8" t="s">
        <v>94</v>
      </c>
      <c r="B1" s="9" t="s">
        <v>64</v>
      </c>
      <c r="C1" s="9" t="s">
        <v>142</v>
      </c>
      <c r="D1" s="8" t="s">
        <v>29</v>
      </c>
      <c r="E1" s="8" t="s">
        <v>284</v>
      </c>
      <c r="G1" s="8" t="s">
        <v>327</v>
      </c>
    </row>
    <row r="2" spans="1:7" x14ac:dyDescent="0.25">
      <c r="A2" s="8" t="s">
        <v>102</v>
      </c>
      <c r="B2" s="9" t="s">
        <v>42</v>
      </c>
      <c r="C2" s="9" t="s">
        <v>143</v>
      </c>
      <c r="D2" s="8" t="s">
        <v>112</v>
      </c>
      <c r="E2" s="8" t="s">
        <v>285</v>
      </c>
      <c r="G2" s="8" t="s">
        <v>326</v>
      </c>
    </row>
    <row r="3" spans="1:7" x14ac:dyDescent="0.25">
      <c r="A3" s="8" t="s">
        <v>103</v>
      </c>
      <c r="B3" s="7" t="s">
        <v>37</v>
      </c>
      <c r="C3" s="9" t="s">
        <v>113</v>
      </c>
      <c r="D3" s="8" t="s">
        <v>25</v>
      </c>
      <c r="E3" s="8" t="s">
        <v>286</v>
      </c>
      <c r="G3" s="8" t="s">
        <v>325</v>
      </c>
    </row>
    <row r="4" spans="1:7" x14ac:dyDescent="0.25">
      <c r="A4" s="8" t="s">
        <v>104</v>
      </c>
      <c r="B4" s="10" t="s">
        <v>134</v>
      </c>
      <c r="C4" s="9" t="s">
        <v>114</v>
      </c>
      <c r="D4" s="8" t="s">
        <v>28</v>
      </c>
      <c r="E4" s="8" t="s">
        <v>287</v>
      </c>
      <c r="G4" s="8" t="s">
        <v>324</v>
      </c>
    </row>
    <row r="5" spans="1:7" x14ac:dyDescent="0.25">
      <c r="A5" s="8" t="s">
        <v>95</v>
      </c>
      <c r="B5" s="10" t="s">
        <v>135</v>
      </c>
      <c r="C5" s="9" t="s">
        <v>115</v>
      </c>
      <c r="D5" s="8" t="s">
        <v>31</v>
      </c>
      <c r="E5" s="8" t="s">
        <v>288</v>
      </c>
      <c r="G5" s="8" t="s">
        <v>323</v>
      </c>
    </row>
    <row r="6" spans="1:7" x14ac:dyDescent="0.25">
      <c r="A6" s="8" t="s">
        <v>105</v>
      </c>
      <c r="B6" s="10" t="s">
        <v>136</v>
      </c>
      <c r="C6" s="9" t="s">
        <v>116</v>
      </c>
      <c r="D6" s="8" t="s">
        <v>30</v>
      </c>
      <c r="E6" s="8" t="s">
        <v>289</v>
      </c>
      <c r="G6" s="8" t="s">
        <v>322</v>
      </c>
    </row>
    <row r="7" spans="1:7" x14ac:dyDescent="0.25">
      <c r="A7" s="8" t="s">
        <v>230</v>
      </c>
      <c r="B7" s="10" t="s">
        <v>137</v>
      </c>
      <c r="C7" s="9" t="s">
        <v>117</v>
      </c>
      <c r="D7" s="8" t="s">
        <v>118</v>
      </c>
      <c r="G7" s="8" t="s">
        <v>321</v>
      </c>
    </row>
    <row r="8" spans="1:7" x14ac:dyDescent="0.25">
      <c r="A8" s="8" t="s">
        <v>96</v>
      </c>
      <c r="B8" s="10" t="s">
        <v>138</v>
      </c>
      <c r="C8" s="9" t="s">
        <v>119</v>
      </c>
      <c r="D8" s="8" t="s">
        <v>22</v>
      </c>
      <c r="G8" s="8" t="s">
        <v>320</v>
      </c>
    </row>
    <row r="9" spans="1:7" x14ac:dyDescent="0.25">
      <c r="A9" s="8" t="s">
        <v>106</v>
      </c>
      <c r="B9" s="10" t="s">
        <v>146</v>
      </c>
      <c r="C9" s="9" t="s">
        <v>120</v>
      </c>
      <c r="D9" s="8" t="s">
        <v>27</v>
      </c>
      <c r="G9" s="8" t="s">
        <v>319</v>
      </c>
    </row>
    <row r="10" spans="1:7" x14ac:dyDescent="0.25">
      <c r="A10" s="8" t="s">
        <v>97</v>
      </c>
      <c r="B10" s="9" t="s">
        <v>39</v>
      </c>
      <c r="C10" s="9" t="s">
        <v>121</v>
      </c>
      <c r="D10" s="8" t="s">
        <v>145</v>
      </c>
      <c r="G10" s="8" t="s">
        <v>318</v>
      </c>
    </row>
    <row r="11" spans="1:7" x14ac:dyDescent="0.25">
      <c r="A11" s="8" t="s">
        <v>98</v>
      </c>
      <c r="B11" s="9" t="s">
        <v>2</v>
      </c>
      <c r="C11" s="9" t="s">
        <v>122</v>
      </c>
      <c r="D11" s="8" t="s">
        <v>19</v>
      </c>
      <c r="G11" s="8" t="s">
        <v>317</v>
      </c>
    </row>
    <row r="12" spans="1:7" x14ac:dyDescent="0.25">
      <c r="A12" s="8" t="s">
        <v>107</v>
      </c>
      <c r="C12" s="9" t="s">
        <v>123</v>
      </c>
      <c r="D12" s="8" t="s">
        <v>124</v>
      </c>
      <c r="G12" s="8" t="s">
        <v>316</v>
      </c>
    </row>
    <row r="13" spans="1:7" x14ac:dyDescent="0.25">
      <c r="A13" s="8" t="s">
        <v>108</v>
      </c>
      <c r="B13" s="7"/>
      <c r="C13" s="9" t="s">
        <v>125</v>
      </c>
      <c r="D13" s="8" t="s">
        <v>26</v>
      </c>
      <c r="G13" s="8" t="s">
        <v>315</v>
      </c>
    </row>
    <row r="14" spans="1:7" x14ac:dyDescent="0.25">
      <c r="A14" s="8" t="s">
        <v>99</v>
      </c>
      <c r="B14" s="7"/>
      <c r="C14" s="9" t="s">
        <v>126</v>
      </c>
      <c r="D14" s="8" t="s">
        <v>32</v>
      </c>
      <c r="G14" s="8" t="s">
        <v>314</v>
      </c>
    </row>
    <row r="15" spans="1:7" x14ac:dyDescent="0.25">
      <c r="A15" s="8" t="s">
        <v>109</v>
      </c>
      <c r="B15" s="7"/>
      <c r="C15" s="9" t="s">
        <v>127</v>
      </c>
      <c r="D15" s="8" t="s">
        <v>20</v>
      </c>
      <c r="G15" s="8" t="s">
        <v>313</v>
      </c>
    </row>
    <row r="16" spans="1:7" x14ac:dyDescent="0.25">
      <c r="A16" s="8" t="s">
        <v>100</v>
      </c>
      <c r="B16" s="7"/>
      <c r="C16" s="9" t="s">
        <v>128</v>
      </c>
      <c r="D16" s="8" t="s">
        <v>144</v>
      </c>
      <c r="G16" s="8" t="s">
        <v>286</v>
      </c>
    </row>
    <row r="17" spans="1:7" x14ac:dyDescent="0.25">
      <c r="A17" s="8" t="s">
        <v>101</v>
      </c>
      <c r="B17" s="7"/>
      <c r="C17" s="9" t="s">
        <v>129</v>
      </c>
      <c r="G17" s="8" t="s">
        <v>312</v>
      </c>
    </row>
    <row r="18" spans="1:7" x14ac:dyDescent="0.25">
      <c r="B18" s="7"/>
      <c r="C18" s="9" t="s">
        <v>130</v>
      </c>
      <c r="G18" s="8" t="s">
        <v>311</v>
      </c>
    </row>
    <row r="19" spans="1:7" x14ac:dyDescent="0.25">
      <c r="C19" s="9" t="s">
        <v>131</v>
      </c>
      <c r="G19" s="8" t="s">
        <v>310</v>
      </c>
    </row>
    <row r="20" spans="1:7" x14ac:dyDescent="0.25">
      <c r="C20" s="9" t="s">
        <v>132</v>
      </c>
      <c r="G20" s="8" t="s">
        <v>309</v>
      </c>
    </row>
    <row r="21" spans="1:7" x14ac:dyDescent="0.25">
      <c r="C21" s="9" t="s">
        <v>133</v>
      </c>
      <c r="G21" s="8" t="s">
        <v>308</v>
      </c>
    </row>
    <row r="22" spans="1:7" x14ac:dyDescent="0.25">
      <c r="G22" s="8" t="s">
        <v>307</v>
      </c>
    </row>
    <row r="23" spans="1:7" x14ac:dyDescent="0.25">
      <c r="G23" s="8" t="s">
        <v>306</v>
      </c>
    </row>
    <row r="24" spans="1:7" x14ac:dyDescent="0.25">
      <c r="G24" s="8" t="s">
        <v>305</v>
      </c>
    </row>
    <row r="25" spans="1:7" x14ac:dyDescent="0.25">
      <c r="G25" s="8" t="s">
        <v>304</v>
      </c>
    </row>
    <row r="26" spans="1:7" x14ac:dyDescent="0.25">
      <c r="G26" s="8" t="s">
        <v>303</v>
      </c>
    </row>
    <row r="27" spans="1:7" x14ac:dyDescent="0.25">
      <c r="G27" s="8" t="s">
        <v>302</v>
      </c>
    </row>
    <row r="28" spans="1:7" x14ac:dyDescent="0.25">
      <c r="G28" s="8" t="s">
        <v>334</v>
      </c>
    </row>
    <row r="34" spans="1:1" x14ac:dyDescent="0.25">
      <c r="A34" s="8" t="s">
        <v>328</v>
      </c>
    </row>
  </sheetData>
  <sortState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Orientações Iniciais</vt:lpstr>
      <vt:lpstr>Mapa Estratégico e ODS</vt:lpstr>
      <vt:lpstr>Indicadores e Metas</vt:lpstr>
      <vt:lpstr>Quadro Geral</vt:lpstr>
      <vt:lpstr>Anexo 1. Fontes e Aplicações</vt:lpstr>
      <vt:lpstr>Anexo 2. Limites Estratégicos</vt:lpstr>
      <vt:lpstr>Anexo 3. Elemento de Despesas</vt:lpstr>
      <vt:lpstr>Validação de dados</vt:lpstr>
      <vt:lpstr>'Anexo 1. Fontes e Aplicações'!Area_de_impressao</vt:lpstr>
      <vt:lpstr>'Anexo 3. Elemento de Despesas'!Area_de_impressao</vt:lpstr>
      <vt:lpstr>'Indicadores e Metas'!Area_de_impressao</vt:lpstr>
      <vt:lpstr>'Mapa Estratégico e ODS'!Area_de_impressao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Ralfe Vinhas</cp:lastModifiedBy>
  <cp:lastPrinted>2022-11-03T18:13:04Z</cp:lastPrinted>
  <dcterms:created xsi:type="dcterms:W3CDTF">2013-07-30T15:20:59Z</dcterms:created>
  <dcterms:modified xsi:type="dcterms:W3CDTF">2023-01-05T13:07:00Z</dcterms:modified>
</cp:coreProperties>
</file>