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ralfe.vinhas\Desktop\Financeiro\Reprogramação 2021\"/>
    </mc:Choice>
  </mc:AlternateContent>
  <bookViews>
    <workbookView xWindow="9645" yWindow="105" windowWidth="10890" windowHeight="10605" tabRatio="887" firstSheet="1" activeTab="2"/>
  </bookViews>
  <sheets>
    <sheet name="Resumo (2)" sheetId="37" state="hidden" r:id="rId1"/>
    <sheet name="Orientações Iniciais" sheetId="29" r:id="rId2"/>
    <sheet name="Mapa Estratégico e ODS" sheetId="41" r:id="rId3"/>
    <sheet name="Indicadores e Metas" sheetId="36" r:id="rId4"/>
    <sheet name="Quadro Geral" sheetId="15" r:id="rId5"/>
    <sheet name="Anexo 1. Fontes e Aplicações" sheetId="8" r:id="rId6"/>
    <sheet name="Anexo 2. Limites Estratégicos" sheetId="23" r:id="rId7"/>
    <sheet name="Anexo 3. Elemento de Despesas" sheetId="38" r:id="rId8"/>
    <sheet name="Resumo" sheetId="31" r:id="rId9"/>
    <sheet name="AÇÕES ESTRATÉGICAS - DESCRIÇÃO" sheetId="40" r:id="rId10"/>
  </sheets>
  <externalReferences>
    <externalReference r:id="rId11"/>
    <externalReference r:id="rId12"/>
  </externalReferences>
  <definedNames>
    <definedName name="__xlfn_IFERROR">#N/A</definedName>
    <definedName name="_xlnm._FilterDatabase" localSheetId="3" hidden="1">'Indicadores e Metas'!$A$29:$S$101</definedName>
    <definedName name="_xlnm._FilterDatabase" localSheetId="4" hidden="1">'Quadro Geral'!$A$6:$R$42</definedName>
    <definedName name="A" localSheetId="7">#REF!</definedName>
    <definedName name="A" localSheetId="3">#REF!</definedName>
    <definedName name="A" localSheetId="2">#REF!</definedName>
    <definedName name="A" localSheetId="1">#REF!</definedName>
    <definedName name="A" localSheetId="4">#REF!</definedName>
    <definedName name="A" localSheetId="0">#REF!</definedName>
    <definedName name="A">#REF!</definedName>
    <definedName name="Anexo" localSheetId="3">#REF!</definedName>
    <definedName name="Anexo" localSheetId="2">#REF!</definedName>
    <definedName name="Anexo">#REF!</definedName>
    <definedName name="Anexo_1.4.4" localSheetId="3">#REF!</definedName>
    <definedName name="Anexo_1.4.4" localSheetId="2">#REF!</definedName>
    <definedName name="Anexo_1.4.4">#REF!</definedName>
    <definedName name="ar">#N/A</definedName>
    <definedName name="_xlnm.Print_Area" localSheetId="5">'Anexo 1. Fontes e Aplicações'!$A$1:$H$38</definedName>
    <definedName name="_xlnm.Print_Area" localSheetId="3">'Indicadores e Metas'!$A$1:$F$106</definedName>
    <definedName name="_xlnm.Print_Area" localSheetId="2">'Mapa Estratégico e ODS'!$A$1:$I$25</definedName>
    <definedName name="_xlnm.Print_Area" localSheetId="4">'Quadro Geral'!$A$1:$R$43</definedName>
    <definedName name="asas" localSheetId="3">#REF!</definedName>
    <definedName name="asas" localSheetId="2">#REF!</definedName>
    <definedName name="asas">#REF!</definedName>
    <definedName name="ass" localSheetId="3">#REF!</definedName>
    <definedName name="ass" localSheetId="2">#REF!</definedName>
    <definedName name="ass">#REF!</definedName>
    <definedName name="_xlnm.Database" localSheetId="7">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 localSheetId="4">#REF!</definedName>
    <definedName name="_xlnm.Database" localSheetId="0">#REF!</definedName>
    <definedName name="_xlnm.Database">#REF!</definedName>
    <definedName name="banco_de_dados_sym" localSheetId="7">#REF!</definedName>
    <definedName name="banco_de_dados_sym" localSheetId="3">#REF!</definedName>
    <definedName name="banco_de_dados_sym" localSheetId="2">#REF!</definedName>
    <definedName name="banco_de_dados_sym" localSheetId="0">#REF!</definedName>
    <definedName name="banco_de_dados_sym">#REF!</definedName>
    <definedName name="Copia" localSheetId="3">#REF!</definedName>
    <definedName name="Copia" localSheetId="2">#REF!</definedName>
    <definedName name="Copia">#REF!</definedName>
    <definedName name="copia2" localSheetId="3">#REF!</definedName>
    <definedName name="copia2" localSheetId="2">#REF!</definedName>
    <definedName name="copia2">#REF!</definedName>
    <definedName name="_xlnm.Criteria" localSheetId="7">#REF!</definedName>
    <definedName name="_xlnm.Criteria" localSheetId="3">#REF!</definedName>
    <definedName name="_xlnm.Criteria" localSheetId="2">#REF!</definedName>
    <definedName name="_xlnm.Criteria" localSheetId="0">#REF!</definedName>
    <definedName name="_xlnm.Criteria">#REF!</definedName>
    <definedName name="dados" localSheetId="7">#REF!</definedName>
    <definedName name="dados" localSheetId="3">#REF!</definedName>
    <definedName name="dados" localSheetId="2">#REF!</definedName>
    <definedName name="dados" localSheetId="0">#REF!</definedName>
    <definedName name="dados">#REF!</definedName>
    <definedName name="Database" localSheetId="2">#REF!</definedName>
    <definedName name="Database">#REF!</definedName>
    <definedName name="DEZEMBRO" localSheetId="2">#REF!</definedName>
    <definedName name="DEZEMBRO">#REF!</definedName>
    <definedName name="huala" localSheetId="7">#REF!</definedName>
    <definedName name="huala" localSheetId="3">#REF!</definedName>
    <definedName name="huala" localSheetId="2">#REF!</definedName>
    <definedName name="huala" localSheetId="0">#REF!</definedName>
    <definedName name="huala">#REF!</definedName>
    <definedName name="kk" localSheetId="7">#REF!</definedName>
    <definedName name="kk" localSheetId="3">#REF!</definedName>
    <definedName name="kk" localSheetId="2">#REF!</definedName>
    <definedName name="kk" localSheetId="0">#REF!</definedName>
    <definedName name="kk">#REF!</definedName>
    <definedName name="Percentual5">'[1]Estudos - Receita'!$XFB$1:$XFB$20</definedName>
    <definedName name="PJ2anos">'[1]Estudos - Quant. PJ'!$K:$O,'[1]Estudos - Quant. PJ'!$J$2</definedName>
    <definedName name="PREs">#N/A</definedName>
    <definedName name="Presid">#N/A</definedName>
    <definedName name="X" localSheetId="2">#REF!</definedName>
    <definedName name="X">#REF!</definedName>
    <definedName name="XFE1048575" localSheetId="3">#REF!</definedName>
    <definedName name="XFE1048575" localSheetId="2">#REF!</definedName>
    <definedName name="XFE1048575">#REF!</definedName>
    <definedName name="XFe1048576" localSheetId="3">#REF!</definedName>
    <definedName name="XFe1048576" localSheetId="2">#REF!</definedName>
    <definedName name="XFe1048576">#REF!</definedName>
  </definedNames>
  <calcPr calcId="152511"/>
</workbook>
</file>

<file path=xl/calcChain.xml><?xml version="1.0" encoding="utf-8"?>
<calcChain xmlns="http://schemas.openxmlformats.org/spreadsheetml/2006/main">
  <c r="F26" i="8" l="1"/>
  <c r="L33" i="15" l="1"/>
  <c r="L32" i="15"/>
  <c r="M26" i="15" l="1"/>
  <c r="M15" i="15"/>
  <c r="AC46" i="15"/>
  <c r="E15" i="8"/>
  <c r="AB31" i="15" l="1"/>
  <c r="AA31" i="15"/>
  <c r="Z34" i="15"/>
  <c r="Z33" i="15"/>
  <c r="Z32" i="15"/>
  <c r="Z29" i="15"/>
  <c r="Z26" i="15"/>
  <c r="Z25" i="15"/>
  <c r="Z14" i="15"/>
  <c r="Z13" i="15"/>
  <c r="Z12" i="15"/>
  <c r="Z11" i="15"/>
  <c r="Z10" i="15"/>
  <c r="Z9" i="15"/>
  <c r="Z8" i="15"/>
  <c r="Z39" i="15" l="1"/>
  <c r="N15" i="23" l="1"/>
  <c r="N12" i="23"/>
  <c r="K23" i="8" l="1"/>
  <c r="G24" i="23" l="1"/>
  <c r="G22" i="23"/>
  <c r="G20" i="23"/>
  <c r="G18" i="23"/>
  <c r="G16" i="23"/>
  <c r="G14" i="23"/>
  <c r="G12" i="23"/>
  <c r="P6" i="23"/>
  <c r="P5" i="23"/>
  <c r="P14" i="23"/>
  <c r="Y37" i="15"/>
  <c r="Y36" i="15"/>
  <c r="Y35" i="15"/>
  <c r="Y34" i="15"/>
  <c r="Y33" i="15"/>
  <c r="Y32" i="15"/>
  <c r="Y31" i="15"/>
  <c r="Y30" i="15"/>
  <c r="Y29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V37" i="15"/>
  <c r="V36" i="15"/>
  <c r="V35" i="15"/>
  <c r="V34" i="15"/>
  <c r="V33" i="15"/>
  <c r="X37" i="15"/>
  <c r="X36" i="15"/>
  <c r="X35" i="15"/>
  <c r="X34" i="15"/>
  <c r="X33" i="15"/>
  <c r="X32" i="15"/>
  <c r="X31" i="15"/>
  <c r="X30" i="15"/>
  <c r="V32" i="15"/>
  <c r="V31" i="15"/>
  <c r="V30" i="15"/>
  <c r="V29" i="15"/>
  <c r="X29" i="15"/>
  <c r="X28" i="15"/>
  <c r="X27" i="15"/>
  <c r="X26" i="15"/>
  <c r="V28" i="15"/>
  <c r="V27" i="15"/>
  <c r="V26" i="15"/>
  <c r="V25" i="15"/>
  <c r="V24" i="15"/>
  <c r="V23" i="15"/>
  <c r="V22" i="15"/>
  <c r="V21" i="15"/>
  <c r="X25" i="15"/>
  <c r="X24" i="15"/>
  <c r="X23" i="15"/>
  <c r="X22" i="15"/>
  <c r="X21" i="15"/>
  <c r="X20" i="15"/>
  <c r="X19" i="15"/>
  <c r="X18" i="15"/>
  <c r="X14" i="15"/>
  <c r="X15" i="15"/>
  <c r="X16" i="15"/>
  <c r="X17" i="15"/>
  <c r="V20" i="15"/>
  <c r="V19" i="15"/>
  <c r="V18" i="15"/>
  <c r="V17" i="15"/>
  <c r="V16" i="15"/>
  <c r="V15" i="15"/>
  <c r="V14" i="15"/>
  <c r="V13" i="15"/>
  <c r="X13" i="15"/>
  <c r="X12" i="15"/>
  <c r="V12" i="15"/>
  <c r="V11" i="15"/>
  <c r="X11" i="15"/>
  <c r="X10" i="15"/>
  <c r="V10" i="15"/>
  <c r="X9" i="15"/>
  <c r="V9" i="15"/>
  <c r="W9" i="15"/>
  <c r="W10" i="15"/>
  <c r="W11" i="15"/>
  <c r="W12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W25" i="15"/>
  <c r="W26" i="15"/>
  <c r="W27" i="15"/>
  <c r="W28" i="15"/>
  <c r="W29" i="15"/>
  <c r="W30" i="15"/>
  <c r="W31" i="15"/>
  <c r="W32" i="15"/>
  <c r="W33" i="15"/>
  <c r="W34" i="15"/>
  <c r="W35" i="15"/>
  <c r="W36" i="15"/>
  <c r="W37" i="15"/>
  <c r="X8" i="15"/>
  <c r="W8" i="15"/>
  <c r="V8" i="15"/>
  <c r="U36" i="15"/>
  <c r="U37" i="15"/>
  <c r="U35" i="15"/>
  <c r="U34" i="15"/>
  <c r="U33" i="15"/>
  <c r="U32" i="15"/>
  <c r="U31" i="15"/>
  <c r="U30" i="15"/>
  <c r="U29" i="15"/>
  <c r="U28" i="15"/>
  <c r="U27" i="15"/>
  <c r="U26" i="15"/>
  <c r="U25" i="15"/>
  <c r="U24" i="15"/>
  <c r="U23" i="15"/>
  <c r="U22" i="15"/>
  <c r="U21" i="15"/>
  <c r="U20" i="15"/>
  <c r="U19" i="15"/>
  <c r="U18" i="15"/>
  <c r="U17" i="15"/>
  <c r="U16" i="15"/>
  <c r="U15" i="15"/>
  <c r="U14" i="15"/>
  <c r="U13" i="15"/>
  <c r="U12" i="15"/>
  <c r="U11" i="15"/>
  <c r="U10" i="15"/>
  <c r="U9" i="15"/>
  <c r="T37" i="15"/>
  <c r="T36" i="15"/>
  <c r="T35" i="15"/>
  <c r="T34" i="15"/>
  <c r="T33" i="15"/>
  <c r="T32" i="15"/>
  <c r="T31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U8" i="15"/>
  <c r="T8" i="15"/>
  <c r="S8" i="15"/>
  <c r="J36" i="8"/>
  <c r="J35" i="8"/>
  <c r="J34" i="8"/>
  <c r="J33" i="8"/>
  <c r="J30" i="8"/>
  <c r="J27" i="8"/>
  <c r="J26" i="8"/>
  <c r="J24" i="8"/>
  <c r="J23" i="8"/>
  <c r="J22" i="8"/>
  <c r="J21" i="8"/>
  <c r="J20" i="8"/>
  <c r="J19" i="8"/>
  <c r="J18" i="8"/>
  <c r="J16" i="8"/>
  <c r="J15" i="8"/>
  <c r="U39" i="15" l="1"/>
  <c r="S39" i="15"/>
  <c r="X39" i="15"/>
  <c r="T39" i="15"/>
  <c r="V39" i="15"/>
  <c r="W39" i="15"/>
  <c r="K25" i="38" l="1"/>
  <c r="AB15" i="15" l="1"/>
  <c r="AA15" i="15" s="1"/>
  <c r="K21" i="38" l="1"/>
  <c r="K18" i="38"/>
  <c r="K17" i="38"/>
  <c r="J16" i="38"/>
  <c r="J15" i="38"/>
  <c r="K13" i="38"/>
  <c r="K11" i="38"/>
  <c r="K8" i="38"/>
  <c r="L12" i="15" l="1"/>
  <c r="D23" i="8" l="1"/>
  <c r="D35" i="8" l="1"/>
  <c r="D33" i="8" s="1"/>
  <c r="E34" i="8"/>
  <c r="E35" i="8" l="1"/>
  <c r="E22" i="8"/>
  <c r="E20" i="8"/>
  <c r="F20" i="8" s="1"/>
  <c r="E19" i="8"/>
  <c r="E18" i="8"/>
  <c r="E16" i="8"/>
  <c r="L34" i="15" l="1"/>
  <c r="L29" i="15"/>
  <c r="L25" i="15"/>
  <c r="L21" i="15"/>
  <c r="L18" i="15"/>
  <c r="L17" i="15"/>
  <c r="L16" i="15"/>
  <c r="L14" i="15"/>
  <c r="L13" i="15"/>
  <c r="L11" i="15"/>
  <c r="L10" i="15"/>
  <c r="L9" i="15"/>
  <c r="L8" i="15"/>
  <c r="AC48" i="15" l="1"/>
  <c r="AC49" i="15" s="1"/>
  <c r="AB26" i="15"/>
  <c r="AA26" i="15" s="1"/>
  <c r="D21" i="8"/>
  <c r="E21" i="8" s="1"/>
  <c r="F21" i="8" s="1"/>
  <c r="J28" i="15" l="1"/>
  <c r="Y28" i="15" s="1"/>
  <c r="O7" i="38" l="1"/>
  <c r="F36" i="8"/>
  <c r="F35" i="8"/>
  <c r="F34" i="8"/>
  <c r="F27" i="8"/>
  <c r="F19" i="8"/>
  <c r="L19" i="8" s="1"/>
  <c r="L20" i="8"/>
  <c r="F22" i="8"/>
  <c r="F23" i="8"/>
  <c r="F24" i="8"/>
  <c r="L24" i="8" s="1"/>
  <c r="F18" i="8"/>
  <c r="L18" i="8" s="1"/>
  <c r="F16" i="8"/>
  <c r="L16" i="8" s="1"/>
  <c r="F15" i="8"/>
  <c r="M8" i="15"/>
  <c r="K39" i="15"/>
  <c r="L39" i="15"/>
  <c r="N39" i="15"/>
  <c r="O39" i="15"/>
  <c r="J39" i="15"/>
  <c r="M9" i="15"/>
  <c r="AB9" i="15" s="1"/>
  <c r="AA9" i="15" s="1"/>
  <c r="M10" i="15"/>
  <c r="M11" i="15"/>
  <c r="M12" i="15"/>
  <c r="M13" i="15"/>
  <c r="M14" i="15"/>
  <c r="Q15" i="15"/>
  <c r="R15" i="15" s="1"/>
  <c r="M16" i="15"/>
  <c r="AB16" i="15" s="1"/>
  <c r="AA16" i="15" s="1"/>
  <c r="M17" i="15"/>
  <c r="AB17" i="15" s="1"/>
  <c r="AA17" i="15" s="1"/>
  <c r="M18" i="15"/>
  <c r="AB18" i="15" s="1"/>
  <c r="AA18" i="15" s="1"/>
  <c r="M19" i="15"/>
  <c r="AB19" i="15" s="1"/>
  <c r="AA19" i="15" s="1"/>
  <c r="M20" i="15"/>
  <c r="AB20" i="15" s="1"/>
  <c r="AA20" i="15" s="1"/>
  <c r="M21" i="15"/>
  <c r="AB21" i="15" s="1"/>
  <c r="AA21" i="15" s="1"/>
  <c r="M22" i="15"/>
  <c r="AB22" i="15" s="1"/>
  <c r="AA22" i="15" s="1"/>
  <c r="M23" i="15"/>
  <c r="M24" i="15"/>
  <c r="M25" i="15"/>
  <c r="P26" i="15"/>
  <c r="M27" i="15"/>
  <c r="M28" i="15"/>
  <c r="M29" i="15"/>
  <c r="M30" i="15"/>
  <c r="AB30" i="15" s="1"/>
  <c r="AA30" i="15" s="1"/>
  <c r="M32" i="15"/>
  <c r="M33" i="15"/>
  <c r="M34" i="15"/>
  <c r="M35" i="15"/>
  <c r="M36" i="15"/>
  <c r="AB36" i="15" s="1"/>
  <c r="AA36" i="15" s="1"/>
  <c r="M37" i="15"/>
  <c r="AB37" i="15" s="1"/>
  <c r="AA37" i="15" s="1"/>
  <c r="M38" i="15"/>
  <c r="AB38" i="15" s="1"/>
  <c r="AA38" i="15" s="1"/>
  <c r="AC52" i="15" l="1"/>
  <c r="AC51" i="15"/>
  <c r="AC53" i="15"/>
  <c r="AB28" i="15"/>
  <c r="AA28" i="15" s="1"/>
  <c r="P23" i="15"/>
  <c r="AB23" i="15"/>
  <c r="AA23" i="15" s="1"/>
  <c r="L35" i="8"/>
  <c r="M35" i="8"/>
  <c r="P27" i="15"/>
  <c r="AB27" i="15"/>
  <c r="AA27" i="15" s="1"/>
  <c r="AB35" i="15"/>
  <c r="AA35" i="15" s="1"/>
  <c r="AB24" i="15"/>
  <c r="AA24" i="15" s="1"/>
  <c r="L34" i="8"/>
  <c r="M34" i="8"/>
  <c r="P25" i="15"/>
  <c r="AB25" i="15"/>
  <c r="AA25" i="15" s="1"/>
  <c r="AB33" i="15"/>
  <c r="AA33" i="15" s="1"/>
  <c r="AB32" i="15"/>
  <c r="AA32" i="15" s="1"/>
  <c r="M15" i="8"/>
  <c r="P20" i="8"/>
  <c r="AB34" i="15"/>
  <c r="AA34" i="15" s="1"/>
  <c r="P29" i="15"/>
  <c r="AB29" i="15"/>
  <c r="AA29" i="15" s="1"/>
  <c r="Q14" i="15"/>
  <c r="R14" i="15" s="1"/>
  <c r="AB14" i="15"/>
  <c r="AA14" i="15" s="1"/>
  <c r="P13" i="15"/>
  <c r="AB13" i="15"/>
  <c r="AA13" i="15" s="1"/>
  <c r="P12" i="15"/>
  <c r="AB12" i="15"/>
  <c r="AA12" i="15" s="1"/>
  <c r="P11" i="15"/>
  <c r="AB11" i="15"/>
  <c r="AA11" i="15" s="1"/>
  <c r="AB10" i="15"/>
  <c r="AA10" i="15" s="1"/>
  <c r="AB8" i="15"/>
  <c r="AA8" i="15" s="1"/>
  <c r="L15" i="8"/>
  <c r="L21" i="8"/>
  <c r="M21" i="8"/>
  <c r="P22" i="15"/>
  <c r="P10" i="15"/>
  <c r="E24" i="23"/>
  <c r="K36" i="8"/>
  <c r="Y8" i="15"/>
  <c r="Y39" i="15" s="1"/>
  <c r="Q8" i="15"/>
  <c r="R8" i="15" s="1"/>
  <c r="P9" i="15"/>
  <c r="Q9" i="15"/>
  <c r="R9" i="15" s="1"/>
  <c r="P8" i="15"/>
  <c r="E16" i="23"/>
  <c r="P28" i="15"/>
  <c r="E22" i="23"/>
  <c r="P24" i="15"/>
  <c r="E18" i="23"/>
  <c r="E20" i="23"/>
  <c r="E14" i="23"/>
  <c r="E12" i="23"/>
  <c r="P15" i="15"/>
  <c r="P20" i="15"/>
  <c r="Q20" i="15"/>
  <c r="R20" i="15" s="1"/>
  <c r="P16" i="15"/>
  <c r="Q16" i="15"/>
  <c r="R16" i="15" s="1"/>
  <c r="P14" i="15"/>
  <c r="P21" i="15"/>
  <c r="Q21" i="15"/>
  <c r="R21" i="15" s="1"/>
  <c r="P17" i="15"/>
  <c r="Q17" i="15"/>
  <c r="R17" i="15" s="1"/>
  <c r="P19" i="15"/>
  <c r="Q19" i="15"/>
  <c r="R19" i="15" s="1"/>
  <c r="P18" i="15"/>
  <c r="Q18" i="15"/>
  <c r="R18" i="15" s="1"/>
  <c r="M39" i="15"/>
  <c r="AB42" i="15" s="1"/>
  <c r="O8" i="38"/>
  <c r="Q8" i="38" s="1"/>
  <c r="O9" i="38"/>
  <c r="Q9" i="38" s="1"/>
  <c r="O10" i="38"/>
  <c r="Q10" i="38" s="1"/>
  <c r="O11" i="38"/>
  <c r="Q11" i="38" s="1"/>
  <c r="O12" i="38"/>
  <c r="Q12" i="38" s="1"/>
  <c r="O13" i="38"/>
  <c r="Q13" i="38" s="1"/>
  <c r="O14" i="38"/>
  <c r="Q14" i="38" s="1"/>
  <c r="O15" i="38"/>
  <c r="Q15" i="38" s="1"/>
  <c r="O16" i="38"/>
  <c r="Q16" i="38" s="1"/>
  <c r="O17" i="38"/>
  <c r="Q17" i="38" s="1"/>
  <c r="O18" i="38"/>
  <c r="Q18" i="38" s="1"/>
  <c r="O19" i="38"/>
  <c r="Q19" i="38" s="1"/>
  <c r="O20" i="38"/>
  <c r="Q20" i="38" s="1"/>
  <c r="O21" i="38"/>
  <c r="Q21" i="38" s="1"/>
  <c r="O22" i="38"/>
  <c r="Q22" i="38" s="1"/>
  <c r="O23" i="38"/>
  <c r="O24" i="38"/>
  <c r="Q24" i="38" s="1"/>
  <c r="O25" i="38"/>
  <c r="Q25" i="38" s="1"/>
  <c r="O26" i="38"/>
  <c r="Q26" i="38" s="1"/>
  <c r="O27" i="38"/>
  <c r="Q27" i="38" s="1"/>
  <c r="O28" i="38"/>
  <c r="Q28" i="38" s="1"/>
  <c r="O29" i="38"/>
  <c r="Q29" i="38" s="1"/>
  <c r="O30" i="38"/>
  <c r="Q30" i="38" s="1"/>
  <c r="O31" i="38"/>
  <c r="Q31" i="38" s="1"/>
  <c r="O32" i="38"/>
  <c r="Q32" i="38" s="1"/>
  <c r="O33" i="38"/>
  <c r="Q33" i="38" s="1"/>
  <c r="O34" i="38"/>
  <c r="Q34" i="38" s="1"/>
  <c r="O35" i="38"/>
  <c r="Q35" i="38" s="1"/>
  <c r="O36" i="38"/>
  <c r="Q36" i="38" s="1"/>
  <c r="O37" i="38"/>
  <c r="Q37" i="38" s="1"/>
  <c r="G38" i="38"/>
  <c r="H38" i="38"/>
  <c r="I38" i="38"/>
  <c r="J38" i="38"/>
  <c r="K38" i="38"/>
  <c r="L38" i="38"/>
  <c r="M38" i="38"/>
  <c r="N38" i="38"/>
  <c r="P38" i="38"/>
  <c r="K26" i="8" s="1"/>
  <c r="L26" i="8" s="1"/>
  <c r="F38" i="38"/>
  <c r="Q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7" i="38"/>
  <c r="B8" i="38"/>
  <c r="B9" i="38"/>
  <c r="B10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7" i="38"/>
  <c r="A8" i="38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7" i="38"/>
  <c r="O6" i="23"/>
  <c r="B57" i="8"/>
  <c r="A2" i="15"/>
  <c r="AC54" i="15" l="1"/>
  <c r="S7" i="38"/>
  <c r="S33" i="38"/>
  <c r="F40" i="38"/>
  <c r="L36" i="8"/>
  <c r="S19" i="38"/>
  <c r="S11" i="38"/>
  <c r="S18" i="38"/>
  <c r="S10" i="38"/>
  <c r="S25" i="38"/>
  <c r="S16" i="38"/>
  <c r="S8" i="38"/>
  <c r="S12" i="38"/>
  <c r="S35" i="38"/>
  <c r="S27" i="38"/>
  <c r="Q23" i="38"/>
  <c r="P40" i="38"/>
  <c r="F45" i="8"/>
  <c r="G45" i="8" s="1"/>
  <c r="C50" i="8"/>
  <c r="S20" i="38"/>
  <c r="S17" i="38"/>
  <c r="S9" i="38"/>
  <c r="O38" i="38"/>
  <c r="F44" i="8" s="1"/>
  <c r="G44" i="8" s="1"/>
  <c r="S36" i="38"/>
  <c r="S29" i="38"/>
  <c r="S21" i="38"/>
  <c r="S13" i="38"/>
  <c r="S14" i="38"/>
  <c r="S31" i="38"/>
  <c r="S15" i="38"/>
  <c r="S22" i="38"/>
  <c r="S24" i="38"/>
  <c r="S26" i="38"/>
  <c r="S28" i="38"/>
  <c r="S30" i="38"/>
  <c r="S32" i="38"/>
  <c r="S34" i="38"/>
  <c r="S37" i="38"/>
  <c r="D38" i="38"/>
  <c r="M15" i="23"/>
  <c r="M12" i="23"/>
  <c r="P12" i="23" s="1"/>
  <c r="F25" i="8"/>
  <c r="E25" i="8"/>
  <c r="D25" i="8"/>
  <c r="C25" i="8"/>
  <c r="J25" i="8" s="1"/>
  <c r="C17" i="8"/>
  <c r="J17" i="8" s="1"/>
  <c r="E33" i="8"/>
  <c r="F33" i="8" l="1"/>
  <c r="Q38" i="38"/>
  <c r="S38" i="38" s="1"/>
  <c r="C49" i="8"/>
  <c r="C51" i="8" s="1"/>
  <c r="B50" i="8"/>
  <c r="S23" i="38"/>
  <c r="Q22" i="15"/>
  <c r="R22" i="15" s="1"/>
  <c r="R28" i="38" l="1"/>
  <c r="J39" i="38"/>
  <c r="P39" i="38"/>
  <c r="N39" i="38"/>
  <c r="R10" i="38"/>
  <c r="R11" i="38"/>
  <c r="R36" i="38"/>
  <c r="R16" i="38"/>
  <c r="R34" i="38"/>
  <c r="R17" i="38"/>
  <c r="R27" i="38"/>
  <c r="H39" i="38"/>
  <c r="R19" i="38"/>
  <c r="R33" i="38"/>
  <c r="R23" i="38"/>
  <c r="K39" i="38"/>
  <c r="G39" i="38"/>
  <c r="R37" i="38"/>
  <c r="R15" i="38"/>
  <c r="R14" i="38"/>
  <c r="R24" i="38"/>
  <c r="R22" i="38"/>
  <c r="R29" i="38"/>
  <c r="R35" i="38"/>
  <c r="O39" i="38"/>
  <c r="R8" i="38"/>
  <c r="Q39" i="38"/>
  <c r="R18" i="38"/>
  <c r="R32" i="38"/>
  <c r="R30" i="38"/>
  <c r="R21" i="38"/>
  <c r="R9" i="38"/>
  <c r="I39" i="38"/>
  <c r="F39" i="38"/>
  <c r="L39" i="38"/>
  <c r="M39" i="38"/>
  <c r="R31" i="38"/>
  <c r="R20" i="38"/>
  <c r="R12" i="38"/>
  <c r="R25" i="38"/>
  <c r="R7" i="38"/>
  <c r="R26" i="38"/>
  <c r="R13" i="38"/>
  <c r="Q31" i="15"/>
  <c r="R31" i="15" s="1"/>
  <c r="P37" i="15"/>
  <c r="P36" i="15"/>
  <c r="Q38" i="15"/>
  <c r="R38" i="15" s="1"/>
  <c r="Q23" i="15"/>
  <c r="R23" i="15" s="1"/>
  <c r="P35" i="15"/>
  <c r="Q34" i="15"/>
  <c r="R34" i="15" s="1"/>
  <c r="Q10" i="15"/>
  <c r="R10" i="15" s="1"/>
  <c r="Q33" i="15"/>
  <c r="R33" i="15" s="1"/>
  <c r="P30" i="15"/>
  <c r="Q32" i="15"/>
  <c r="R32" i="15" s="1"/>
  <c r="Q24" i="15"/>
  <c r="R24" i="15" s="1"/>
  <c r="Q28" i="15"/>
  <c r="R28" i="15" s="1"/>
  <c r="P34" i="15"/>
  <c r="Q13" i="15"/>
  <c r="R13" i="15" s="1"/>
  <c r="Q37" i="15"/>
  <c r="R37" i="15" s="1"/>
  <c r="Q12" i="15"/>
  <c r="R12" i="15" s="1"/>
  <c r="Q36" i="15"/>
  <c r="R36" i="15" s="1"/>
  <c r="Q30" i="15"/>
  <c r="R30" i="15" s="1"/>
  <c r="Q29" i="15"/>
  <c r="R29" i="15" s="1"/>
  <c r="P32" i="15"/>
  <c r="Q35" i="15"/>
  <c r="R35" i="15" s="1"/>
  <c r="Q27" i="15"/>
  <c r="R27" i="15" s="1"/>
  <c r="Q11" i="15"/>
  <c r="R11" i="15" s="1"/>
  <c r="P38" i="15"/>
  <c r="P31" i="15"/>
  <c r="Q26" i="15"/>
  <c r="R26" i="15" s="1"/>
  <c r="Q25" i="15"/>
  <c r="R25" i="15" s="1"/>
  <c r="P33" i="15"/>
  <c r="R38" i="38" l="1"/>
  <c r="Q39" i="15"/>
  <c r="R39" i="15" s="1"/>
  <c r="P39" i="15"/>
  <c r="O14" i="23"/>
  <c r="O5" i="23"/>
  <c r="F24" i="23"/>
  <c r="F22" i="23"/>
  <c r="F20" i="23"/>
  <c r="F18" i="23"/>
  <c r="F16" i="23"/>
  <c r="F14" i="23"/>
  <c r="F12" i="23"/>
  <c r="E31" i="8"/>
  <c r="K39" i="8" s="1"/>
  <c r="E32" i="8"/>
  <c r="G16" i="8"/>
  <c r="G18" i="8"/>
  <c r="G19" i="8"/>
  <c r="G20" i="8"/>
  <c r="G21" i="8"/>
  <c r="G22" i="8"/>
  <c r="G23" i="8"/>
  <c r="G24" i="8"/>
  <c r="G26" i="8"/>
  <c r="G27" i="8"/>
  <c r="G29" i="8"/>
  <c r="G34" i="8"/>
  <c r="H34" i="8" s="1"/>
  <c r="G35" i="8"/>
  <c r="G36" i="8"/>
  <c r="G15" i="8"/>
  <c r="D32" i="8"/>
  <c r="D31" i="8"/>
  <c r="F31" i="8" s="1"/>
  <c r="C32" i="8"/>
  <c r="J32" i="8" s="1"/>
  <c r="C31" i="8"/>
  <c r="J31" i="8" s="1"/>
  <c r="F32" i="8" l="1"/>
  <c r="E8" i="23"/>
  <c r="D8" i="23"/>
  <c r="G8" i="23" s="1"/>
  <c r="E6" i="23"/>
  <c r="D6" i="23"/>
  <c r="G6" i="23" s="1"/>
  <c r="F8" i="23" l="1"/>
  <c r="F6" i="23"/>
  <c r="P15" i="23" l="1"/>
  <c r="E46" i="8"/>
  <c r="H36" i="8"/>
  <c r="H35" i="8"/>
  <c r="D30" i="8"/>
  <c r="D37" i="8" s="1"/>
  <c r="D40" i="8" s="1"/>
  <c r="C37" i="8"/>
  <c r="J37" i="8" s="1"/>
  <c r="H27" i="8"/>
  <c r="H26" i="8"/>
  <c r="B45" i="8"/>
  <c r="J45" i="8" s="1"/>
  <c r="H24" i="8"/>
  <c r="H23" i="8"/>
  <c r="H22" i="8"/>
  <c r="H21" i="8"/>
  <c r="H20" i="8"/>
  <c r="H19" i="8"/>
  <c r="H18" i="8"/>
  <c r="F17" i="8"/>
  <c r="L17" i="8" s="1"/>
  <c r="E17" i="8"/>
  <c r="D17" i="8"/>
  <c r="H16" i="8"/>
  <c r="H15" i="8"/>
  <c r="F14" i="8"/>
  <c r="E14" i="8"/>
  <c r="D14" i="8"/>
  <c r="C14" i="8"/>
  <c r="J14" i="8" s="1"/>
  <c r="L14" i="8" l="1"/>
  <c r="M14" i="8"/>
  <c r="C40" i="8"/>
  <c r="G17" i="8"/>
  <c r="H17" i="8" s="1"/>
  <c r="O12" i="23"/>
  <c r="O15" i="23"/>
  <c r="G25" i="8"/>
  <c r="H25" i="8" s="1"/>
  <c r="C45" i="8"/>
  <c r="D45" i="8" s="1"/>
  <c r="G14" i="8"/>
  <c r="H14" i="8" s="1"/>
  <c r="G33" i="8"/>
  <c r="H33" i="8" s="1"/>
  <c r="G31" i="8"/>
  <c r="H31" i="8" s="1"/>
  <c r="D13" i="8"/>
  <c r="D12" i="8" s="1"/>
  <c r="E13" i="8"/>
  <c r="E12" i="8" s="1"/>
  <c r="C13" i="8"/>
  <c r="J13" i="8" s="1"/>
  <c r="F13" i="8"/>
  <c r="L13" i="8" l="1"/>
  <c r="M13" i="8"/>
  <c r="E11" i="8"/>
  <c r="E28" i="8" s="1"/>
  <c r="D11" i="8"/>
  <c r="E30" i="8"/>
  <c r="E37" i="8" s="1"/>
  <c r="F12" i="8"/>
  <c r="C12" i="8"/>
  <c r="G13" i="8"/>
  <c r="H13" i="8" s="1"/>
  <c r="E38" i="8" l="1"/>
  <c r="M12" i="8"/>
  <c r="L12" i="8"/>
  <c r="D5" i="23"/>
  <c r="G5" i="23" s="1"/>
  <c r="J12" i="8"/>
  <c r="D28" i="8"/>
  <c r="D38" i="8" s="1"/>
  <c r="F11" i="8"/>
  <c r="E5" i="23"/>
  <c r="E7" i="23" s="1"/>
  <c r="D50" i="8"/>
  <c r="F46" i="8"/>
  <c r="G46" i="8" s="1"/>
  <c r="G12" i="8"/>
  <c r="H12" i="8" s="1"/>
  <c r="C11" i="8"/>
  <c r="G32" i="8"/>
  <c r="H32" i="8" s="1"/>
  <c r="F30" i="8"/>
  <c r="F37" i="8" s="1"/>
  <c r="L11" i="8" l="1"/>
  <c r="M11" i="8"/>
  <c r="F28" i="8"/>
  <c r="D7" i="23"/>
  <c r="D9" i="23" s="1"/>
  <c r="B49" i="8"/>
  <c r="B51" i="8" s="1"/>
  <c r="B44" i="8"/>
  <c r="J11" i="8"/>
  <c r="F40" i="8"/>
  <c r="D40" i="38"/>
  <c r="E40" i="8"/>
  <c r="C28" i="8"/>
  <c r="C44" i="8"/>
  <c r="C46" i="8" s="1"/>
  <c r="N7" i="23"/>
  <c r="E9" i="23"/>
  <c r="F5" i="23"/>
  <c r="G11" i="8"/>
  <c r="H11" i="8" s="1"/>
  <c r="M7" i="23"/>
  <c r="P7" i="23" s="1"/>
  <c r="G30" i="8"/>
  <c r="H30" i="8" s="1"/>
  <c r="I30" i="8"/>
  <c r="F38" i="8" l="1"/>
  <c r="N31" i="8"/>
  <c r="O31" i="8"/>
  <c r="I24" i="8"/>
  <c r="F7" i="23"/>
  <c r="N8" i="23"/>
  <c r="D23" i="23"/>
  <c r="G23" i="23" s="1"/>
  <c r="D13" i="23"/>
  <c r="G13" i="23" s="1"/>
  <c r="D25" i="23"/>
  <c r="G25" i="23" s="1"/>
  <c r="D21" i="23"/>
  <c r="G21" i="23" s="1"/>
  <c r="G7" i="23"/>
  <c r="F9" i="23"/>
  <c r="C38" i="8"/>
  <c r="J28" i="8"/>
  <c r="D19" i="23"/>
  <c r="G19" i="23" s="1"/>
  <c r="G9" i="23"/>
  <c r="D17" i="23"/>
  <c r="G17" i="23" s="1"/>
  <c r="D15" i="23"/>
  <c r="G15" i="23" s="1"/>
  <c r="B46" i="8"/>
  <c r="D46" i="8" s="1"/>
  <c r="J44" i="8"/>
  <c r="I19" i="8"/>
  <c r="I20" i="8"/>
  <c r="I15" i="8"/>
  <c r="I12" i="8"/>
  <c r="I18" i="8"/>
  <c r="I16" i="8"/>
  <c r="I27" i="8"/>
  <c r="I28" i="8"/>
  <c r="I23" i="8"/>
  <c r="I22" i="8"/>
  <c r="I14" i="8"/>
  <c r="I11" i="8"/>
  <c r="I25" i="8"/>
  <c r="I17" i="8"/>
  <c r="M13" i="23"/>
  <c r="P13" i="23" s="1"/>
  <c r="M8" i="23"/>
  <c r="I13" i="8"/>
  <c r="I21" i="8"/>
  <c r="I26" i="8"/>
  <c r="N13" i="23"/>
  <c r="O7" i="23"/>
  <c r="D49" i="8"/>
  <c r="D51" i="8" s="1"/>
  <c r="G28" i="8"/>
  <c r="D44" i="8"/>
  <c r="E21" i="23"/>
  <c r="E17" i="23"/>
  <c r="F17" i="23" s="1"/>
  <c r="E23" i="23"/>
  <c r="E13" i="23"/>
  <c r="E25" i="23"/>
  <c r="E15" i="23"/>
  <c r="F15" i="23" s="1"/>
  <c r="E19" i="23"/>
  <c r="F19" i="23" s="1"/>
  <c r="I33" i="8"/>
  <c r="I34" i="8"/>
  <c r="I31" i="8"/>
  <c r="G37" i="8"/>
  <c r="H37" i="8" s="1"/>
  <c r="I36" i="8"/>
  <c r="I37" i="8"/>
  <c r="I35" i="8"/>
  <c r="I32" i="8"/>
  <c r="H28" i="8" l="1"/>
  <c r="G38" i="8"/>
  <c r="F23" i="23"/>
  <c r="F13" i="23"/>
  <c r="F25" i="23"/>
  <c r="F21" i="23"/>
  <c r="O13" i="23"/>
</calcChain>
</file>

<file path=xl/comments1.xml><?xml version="1.0" encoding="utf-8"?>
<comments xmlns="http://schemas.openxmlformats.org/spreadsheetml/2006/main">
  <authors>
    <author>CAUBA BAHIA</author>
  </authors>
  <commentList>
    <comment ref="E33" authorId="0" shapeId="0">
      <text>
        <r>
          <rPr>
            <b/>
            <sz val="9"/>
            <color indexed="81"/>
            <rFont val="Segoe UI"/>
            <family val="2"/>
          </rPr>
          <t>CAUBA BAHIA:</t>
        </r>
        <r>
          <rPr>
            <sz val="9"/>
            <color indexed="81"/>
            <rFont val="Segoe UI"/>
            <family val="2"/>
          </rPr>
          <t xml:space="preserve">
O parâmetro para composição deste indíce é a capacidade de atendimento de solicitações de registro profissionais no período de 30 dias. A pandemia e a instalação do trabalho remoto nas instituições de ensino prejudicou o fluxo do atendimento das solicitações feitas pelo CAU/BA acerca das confirmações de veracidade de documentação acadêmica, o que repercutiu no tempo de resposta. Por isso, diante da incerteza do cenário ainda em 2021, utilizaremos meta mais conservadora.</t>
        </r>
      </text>
    </comment>
    <comment ref="F33" authorId="0" shapeId="0">
      <text>
        <r>
          <rPr>
            <b/>
            <sz val="9"/>
            <color indexed="81"/>
            <rFont val="Segoe UI"/>
            <family val="2"/>
          </rPr>
          <t>CAUBA BAHIA:</t>
        </r>
        <r>
          <rPr>
            <sz val="9"/>
            <color indexed="81"/>
            <rFont val="Segoe UI"/>
            <family val="2"/>
          </rPr>
          <t xml:space="preserve">
O parâmetro para composição deste indíce é a capacidade de atendimento de solicitações de registro profissionais no período de 30 dias. A pandemia e a instalação do trabalho remoto nas instituições de ensino prejudicou o fluxo do atendimento das solicitações feitas pelo CAU/BA acerca das confirmações de veracidade de documentação acadêmica, o que repercutiu no tempo de resposta. Por isso, diante da incerteza do cenário ainda em 2021, utilizaremos meta mais conservadora.</t>
        </r>
      </text>
    </comment>
    <comment ref="E35" authorId="0" shapeId="0">
      <text>
        <r>
          <rPr>
            <b/>
            <sz val="9"/>
            <color indexed="81"/>
            <rFont val="Segoe UI"/>
            <family val="2"/>
          </rPr>
          <t>CAUBA BAHIA:</t>
        </r>
        <r>
          <rPr>
            <sz val="9"/>
            <color indexed="81"/>
            <rFont val="Segoe UI"/>
            <family val="2"/>
          </rPr>
          <t xml:space="preserve">
O indíce de satisfação atual é de 91% (período jan a set/2020). Investimento em aperfeiçoamento dos processos, com inclusão de ferramentas tecnológicas que permitam maior alcance da capacidad de avaliação de atendimento (atendimentos telefônicos e e-mail) podem contribuir para o alcance da meta projetada</t>
        </r>
      </text>
    </comment>
    <comment ref="F35" authorId="0" shapeId="0">
      <text>
        <r>
          <rPr>
            <b/>
            <sz val="9"/>
            <color indexed="81"/>
            <rFont val="Segoe UI"/>
            <family val="2"/>
          </rPr>
          <t>CAUBA BAHIA:</t>
        </r>
        <r>
          <rPr>
            <sz val="9"/>
            <color indexed="81"/>
            <rFont val="Segoe UI"/>
            <family val="2"/>
          </rPr>
          <t xml:space="preserve">
O indíce de satisfação atual é de 91% (período jan a set/2020). Investimento em aperfeiçoamento dos processos, com inclusão de ferramentas tecnológicas que permitam maior alcance da capacidad de avaliação de atendimento (atendimentos telefônicos e e-mail) podem contribuir para o alcance da meta projetada</t>
        </r>
      </text>
    </comment>
  </commentList>
</comments>
</file>

<file path=xl/comments2.xml><?xml version="1.0" encoding="utf-8"?>
<comments xmlns="http://schemas.openxmlformats.org/spreadsheetml/2006/main">
  <authors>
    <author>Gustavo Milhomem Brito Menezes</author>
    <author>Flavia Rios Costa</author>
    <author>Tania Mara Chaves Daldegan</author>
  </authors>
  <commentList>
    <comment ref="A6" authorId="0" shapeId="0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>
      <text>
        <r>
          <rPr>
            <b/>
            <sz val="14"/>
            <color indexed="81"/>
            <rFont val="Calibri Light"/>
            <family val="2"/>
            <scheme val="major"/>
          </rPr>
          <t>P= Projeto                                         A= Atividade 
PE= Projeto Específico</t>
        </r>
      </text>
    </comment>
    <comment ref="C6" authorId="1" shapeId="0">
      <text>
        <r>
          <rPr>
            <sz val="18"/>
            <color indexed="81"/>
            <rFont val="Tahoma"/>
            <family val="2"/>
          </rPr>
          <t xml:space="preserve">AT= Projeto ou Atividade Atual ( já existente na Programação 2021)                             
N= Projeto ou Atividade Nova (não existente na Programação 2021)
R= Projeto ou Atividade Reformulada (alterada)
E= Projeto ou Atividade Excluída
C= Projeto concluído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6" authorId="1" shapeId="0">
      <text>
        <r>
          <rPr>
            <b/>
            <sz val="14"/>
            <color indexed="81"/>
            <rFont val="Segoe UI"/>
            <family val="2"/>
          </rPr>
          <t>Marcar X para as iniciativas que irão utilizar o Fundo de Apoio- Apenas para CAU Básicos.</t>
        </r>
      </text>
    </comment>
    <comment ref="E6" authorId="0" shapeId="0">
      <text>
        <r>
          <rPr>
            <b/>
            <sz val="13"/>
            <color indexed="81"/>
            <rFont val="Tahoma"/>
            <family val="2"/>
          </rPr>
          <t>Nome do Projeto ou Atividade do Plano de Ação .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F6" authorId="0" shapeId="0">
      <text>
        <r>
          <rPr>
            <b/>
            <sz val="13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G6" authorId="0" shapeId="0">
      <text>
        <r>
          <rPr>
            <b/>
            <sz val="13"/>
            <color indexed="81"/>
            <rFont val="Tahoma"/>
            <family val="2"/>
          </rPr>
          <t xml:space="preserve">Selecionar uma das opções nas células abaixo que estão de acordo com os objetivos estratégicos do Mapa Estratégico no âmbito das perspectivas da Sociedade, Processos Internos, Alavancadores e Pessoas e Infraestrutura.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H6" authorId="0" shapeId="0">
      <text>
        <r>
          <rPr>
            <b/>
            <sz val="13"/>
            <color indexed="81"/>
            <rFont val="Tahoma"/>
            <family val="2"/>
          </rPr>
          <t>Ao firmar o compromisso de incluir os ODS à sua estratégia, o CAU abre caminho para melhorar sua atuação e atender aos anseios da sociedade por projetos e serviços alinhados aos princípios da sustentabilidade. Neste contexto, torna-se facultativo o enquadramento dos projetos e atividades nos ODS em 2021.</t>
        </r>
      </text>
    </comment>
    <comment ref="I6" authorId="0" shapeId="0">
      <text>
        <r>
          <rPr>
            <b/>
            <sz val="13"/>
            <color indexed="81"/>
            <rFont val="Tahoma"/>
            <family val="2"/>
          </rPr>
          <t xml:space="preserve">São os efeitos que devem ser produzidos com a execução do projeto/atividade, dentro do seu horizonte do tempo. Refletem o objetivo geral do projeto e representam o seu desdobramento em metas mensuráveis. Resultado = Transformação + Indicador + Meta + Prazo, conforme descritivo no Anexo 4
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6" authorId="0" shapeId="0">
      <text>
        <r>
          <rPr>
            <b/>
            <sz val="13"/>
            <color indexed="81"/>
            <rFont val="Tahoma"/>
            <family val="2"/>
          </rPr>
          <t xml:space="preserve">Os valores devem ser iguais do Plano de Ação da Programação 2021 aprovado. Caso tenha feito a Reprogramação Extraordinária 2021, considerar os valores aprovados nessa reprogramação. 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K6" authorId="0" shapeId="0">
      <text>
        <r>
          <rPr>
            <b/>
            <sz val="14"/>
            <color indexed="81"/>
            <rFont val="Tahoma"/>
            <family val="2"/>
          </rPr>
          <t xml:space="preserve">Valores  dos Projetos/Atividades da Reprogramação 2021.
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M6" authorId="0" shapeId="0">
      <text>
        <r>
          <rPr>
            <b/>
            <sz val="13"/>
            <color indexed="81"/>
            <rFont val="Tahoma"/>
            <family val="2"/>
          </rPr>
          <t>Valores  dos Projetos/Atividades do Plano de Ação da Reprogramação 2021= Execução+Projetado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N6" authorId="1" shapeId="0">
      <text>
        <r>
          <rPr>
            <b/>
            <sz val="15"/>
            <color indexed="81"/>
            <rFont val="Tahoma"/>
            <family val="2"/>
          </rPr>
          <t xml:space="preserve"> Resolução nº 200- Art. 9º "Fica autorizada a utilização de superávit financeiro acumulado até o exercício imediatamente anterior, apurado no balanço patrimonial, em despesas de capital e em projetos específicos, com seus respectivos planos de trabalho, de caráter não continuado, não configurado como atividade, em ações cuja realização seja suportada por despesas de natureza corrente".</t>
        </r>
      </text>
    </comment>
    <comment ref="O6" authorId="1" shapeId="0">
      <text>
        <r>
          <rPr>
            <b/>
            <sz val="13"/>
            <color indexed="81"/>
            <rFont val="Tahoma"/>
            <family val="2"/>
          </rPr>
          <t>Para os CAU Básicos : Valores do Fundo de Apoio distribuídos por Projeto/Atividade. Vale a ressalva que a Atividade do CSC deve</t>
        </r>
        <r>
          <rPr>
            <b/>
            <sz val="13"/>
            <color indexed="8"/>
            <rFont val="Tahoma"/>
            <family val="2"/>
          </rPr>
          <t xml:space="preserve"> ser pago com o Fundo de Apoio. Não utilizar em despesa de capital.</t>
        </r>
      </text>
    </comment>
    <comment ref="K7" authorId="2" shapeId="0">
      <text>
        <r>
          <rPr>
            <b/>
            <sz val="15"/>
            <color indexed="81"/>
            <rFont val="Segoe UI"/>
            <family val="2"/>
          </rPr>
          <t xml:space="preserve">O valor do "Executado 2021": retirar do SISCONT. NET, no caminho "Centro de Custos&gt; Relatórios&gt; Demonstrativo de empenhos/pagamentos"; período de  01/01/2021 até 31/05/2021; na coluna "LIQUIDAÇÕES".  </t>
        </r>
        <r>
          <rPr>
            <b/>
            <sz val="20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Flavia Rios Costa</author>
    <author>Gustavo Milhomem Brito Menezes</author>
    <author>Tania Mara Chaves Daldegan</author>
  </authors>
  <commentList>
    <comment ref="C8" authorId="0" shapeId="0">
      <text>
        <r>
          <rPr>
            <b/>
            <sz val="12"/>
            <color indexed="81"/>
            <rFont val="Tahoma"/>
            <family val="2"/>
          </rPr>
          <t xml:space="preserve">Os valores devem ser iguais do Plano de Ação da Programação 2021 aprovado. Caso tenha feito a Reprogramação Extraordinária 2021, considerar os valores aprovados nessa reprogramação. 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D9" authorId="1" shapeId="0">
      <text>
        <r>
          <rPr>
            <b/>
            <sz val="11"/>
            <color indexed="81"/>
            <rFont val="Tahoma"/>
            <family val="2"/>
          </rPr>
          <t>O valor das "Receitas realizadas 2021": retirar do SISCONT. NET, no caminho:  "Contabilidade&gt; Relatórios-&gt;Consolidado&gt;comparativo da receita"; período de 01/01/2021 até 31/05/2021; na coluna "Arrec.Período"</t>
        </r>
      </text>
    </comment>
    <comment ref="E9" authorId="1" shapeId="0">
      <text>
        <r>
          <rPr>
            <b/>
            <sz val="12"/>
            <color indexed="81"/>
            <rFont val="Tahoma"/>
            <family val="2"/>
          </rPr>
          <t>De acordo com as ações e metas a serem executadas em 2021.</t>
        </r>
      </text>
    </comment>
    <comment ref="F9" authorId="1" shapeId="0">
      <text>
        <r>
          <rPr>
            <b/>
            <sz val="12"/>
            <color indexed="81"/>
            <rFont val="Tahoma"/>
            <family val="2"/>
          </rPr>
          <t xml:space="preserve">Observar os valores que estão nas Diretrizes da Reprogramação 2021 para Anuidades, RRT, Taxas e Multas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</text>
    </comment>
    <comment ref="A17" authorId="0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>
      <text>
        <r>
          <rPr>
            <b/>
            <sz val="10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Siccau/Siscont.net.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 shapeId="0">
      <text>
        <r>
          <rPr>
            <b/>
            <sz val="11"/>
            <color indexed="81"/>
            <rFont val="Tahoma"/>
            <family val="2"/>
          </rPr>
          <t>Apenas o Valor do APORTE DO CSC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3" authorId="2" shapeId="0">
      <text>
        <r>
          <rPr>
            <b/>
            <sz val="14"/>
            <color indexed="81"/>
            <rFont val="Segoe UI"/>
            <family val="2"/>
          </rPr>
          <t>Valores conforme o anexo "Fontes e Aplicações" do Parecer da Programação 2021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A53" authorId="0" shapeId="0">
      <text>
        <r>
          <rPr>
            <sz val="13"/>
            <color indexed="81"/>
            <rFont val="Tahoma"/>
            <family val="2"/>
          </rPr>
          <t>Resolução 200- art 9º "Fica autorizada a utilização de superávit financeiro acumulado até o exercício imediatamente anterior, apurado no balanço patrimonial, em despesas de capital e em projetos específicos, com seus respectivos planos de trabalho, de caráter não continuado, não configurado como atividade, em ações cuja realização seja suportada por despesas de natureza corrente."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Gustavo Milhomem Brito Menezes</author>
    <author>Tania Mara Chaves Daldegan</author>
  </authors>
  <commentList>
    <comment ref="B5" authorId="0" shapeId="0">
      <text>
        <r>
          <rPr>
            <b/>
            <sz val="11"/>
            <color indexed="81"/>
            <rFont val="Tahoma"/>
            <family val="2"/>
          </rPr>
          <t xml:space="preserve">Vinculada as Receitas de Arrecadação do Anexo 1.1 - Usos e Fonte COM os valores das anuidades de exercícios anteriores.
</t>
        </r>
      </text>
    </comment>
    <comment ref="B6" authorId="0" shapeId="0">
      <text>
        <r>
          <rPr>
            <b/>
            <sz val="13"/>
            <color indexed="81"/>
            <rFont val="Tahoma"/>
            <family val="2"/>
          </rPr>
          <t>Apenas para os Cau Básicos. O valor total deve ser igual do que consta nas Diretrizes da Reprogramação 2021.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" authorId="1" shapeId="0">
      <text>
        <r>
          <rPr>
            <b/>
            <sz val="14"/>
            <color indexed="81"/>
            <rFont val="Tahoma"/>
            <family val="2"/>
          </rPr>
          <t>Detalhar o valor no campo das justificativas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13"/>
            <color indexed="81"/>
            <rFont val="Tahoma"/>
            <family val="2"/>
          </rPr>
          <t>Vinculada as Receitas de Arrecadação do Anexo 1.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Aportes ( CSC + FA)</t>
        </r>
      </text>
    </comment>
    <comment ref="F12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3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4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5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6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8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9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0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1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2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3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4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5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Fabiana ...</author>
    <author>Tania Mara Chaves Daldegan</author>
  </authors>
  <commentList>
    <comment ref="B5" authorId="0" shapeId="0">
      <text>
        <r>
          <rPr>
            <b/>
            <sz val="9"/>
            <color indexed="81"/>
            <rFont val="Segoe UI"/>
            <family val="2"/>
          </rPr>
          <t>1.Vedada a utilização para a despesa de capital. 
2.Custear a participação do presidente nas Plenárias Ampliadas.
3.Custear o CSC.</t>
        </r>
      </text>
    </comment>
    <comment ref="L5" authorId="1" shapeId="0">
      <text>
        <r>
          <rPr>
            <b/>
            <sz val="9"/>
            <color indexed="81"/>
            <rFont val="Segoe UI"/>
            <family val="2"/>
          </rPr>
          <t>Aporte ao Fundo de apoio
Aporte o CSC
Patrocínio
Convênios</t>
        </r>
      </text>
    </comment>
  </commentList>
</comments>
</file>

<file path=xl/sharedStrings.xml><?xml version="1.0" encoding="utf-8"?>
<sst xmlns="http://schemas.openxmlformats.org/spreadsheetml/2006/main" count="928" uniqueCount="522">
  <si>
    <t>Total</t>
  </si>
  <si>
    <t>Pessoal</t>
  </si>
  <si>
    <t>Imobilizado</t>
  </si>
  <si>
    <t>Variação</t>
  </si>
  <si>
    <t>Unidade Responsável</t>
  </si>
  <si>
    <t>Denominação</t>
  </si>
  <si>
    <t>TOTAL</t>
  </si>
  <si>
    <t>Especificação</t>
  </si>
  <si>
    <t>I - FONTES</t>
  </si>
  <si>
    <t>1. Receitas Correntes</t>
  </si>
  <si>
    <t>1.1.1 Anuidades</t>
  </si>
  <si>
    <t>1.1.1.1 Pessoa Física</t>
  </si>
  <si>
    <t>1.1.1.2 Pessoa Jurídica</t>
  </si>
  <si>
    <t>1.2 Aplicações Financeiras</t>
  </si>
  <si>
    <t>1.4 Fundo de Apoio</t>
  </si>
  <si>
    <t>2 Receitas de Capital</t>
  </si>
  <si>
    <t>2.1 Saldos de Exercícios Anteriores (Superávit Financeiro)</t>
  </si>
  <si>
    <t xml:space="preserve"> I – TOTAL</t>
  </si>
  <si>
    <t>II.1 Programação Operacional</t>
  </si>
  <si>
    <t>Projetos</t>
  </si>
  <si>
    <t>II.2 Aportes ao Fundo de Apoio</t>
  </si>
  <si>
    <t>II – TOTAL</t>
  </si>
  <si>
    <t>VARIAÇÃO (I-II)</t>
  </si>
  <si>
    <t>Valores em R$ 1,00</t>
  </si>
  <si>
    <t xml:space="preserve">Variação                                                      </t>
  </si>
  <si>
    <t>II.4 Reserva de Contingência</t>
  </si>
  <si>
    <t>Impactar significativamente o planejamento e a gestão do território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</si>
  <si>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</si>
  <si>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</si>
  <si>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</si>
  <si>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</si>
  <si>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</si>
  <si>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</si>
  <si>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</si>
  <si>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</si>
  <si>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</si>
  <si>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</si>
  <si>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</si>
  <si>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</si>
  <si>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</si>
  <si>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Indicadores Institucionais e de Resultado (agrupados por objetivo estratégico) - Metas</t>
  </si>
  <si>
    <t>Objetivo Estratégico Principal</t>
  </si>
  <si>
    <t>Denominação (Projeto/Atividade)</t>
  </si>
  <si>
    <t>Material de Consumo</t>
  </si>
  <si>
    <t>Serviços de Terceiros</t>
  </si>
  <si>
    <t>Encargos Diversos</t>
  </si>
  <si>
    <t>Soma</t>
  </si>
  <si>
    <t>% Part.</t>
  </si>
  <si>
    <t>Diárias</t>
  </si>
  <si>
    <t>Passagens</t>
  </si>
  <si>
    <t>Serviços Prestados</t>
  </si>
  <si>
    <t>TOTAL GERAL</t>
  </si>
  <si>
    <t>BASE DE CÁLCULO</t>
  </si>
  <si>
    <t>APLICAÇÕES DE RECURSOS</t>
  </si>
  <si>
    <t xml:space="preserve">FOLHA DE PAGAMENTO </t>
  </si>
  <si>
    <t>2. Recursos do fundo de apoio (CAU Básico)</t>
  </si>
  <si>
    <t>Valor</t>
  </si>
  <si>
    <t xml:space="preserve">% </t>
  </si>
  <si>
    <t>Variação (%)</t>
  </si>
  <si>
    <t>LIMITES</t>
  </si>
  <si>
    <t xml:space="preserve">Objetivo Geral </t>
  </si>
  <si>
    <t>CAU/UF:</t>
  </si>
  <si>
    <t>1.1.3 Taxas e Multas</t>
  </si>
  <si>
    <t xml:space="preserve">Fórmula </t>
  </si>
  <si>
    <t xml:space="preserve">Periodicidade </t>
  </si>
  <si>
    <t>B- INDICADORES DE RESULTADO</t>
  </si>
  <si>
    <t>A- INDICADORES INSTITUCIONAIS</t>
  </si>
  <si>
    <t xml:space="preserve">II.3 Aporte ao CSC </t>
  </si>
  <si>
    <t>Atividades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</si>
  <si>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</si>
  <si>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</si>
  <si>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</si>
  <si>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</si>
  <si>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</si>
  <si>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Pessoal e Encargos</t>
  </si>
  <si>
    <t>A. Pessoal e Encargos (Valores totais)</t>
  </si>
  <si>
    <t>1. QUADRO GERAL</t>
  </si>
  <si>
    <t>Resultado</t>
  </si>
  <si>
    <t>1.1.3 RRT</t>
  </si>
  <si>
    <t xml:space="preserve">BASE DE CÁLCULO </t>
  </si>
  <si>
    <t xml:space="preserve">Variação </t>
  </si>
  <si>
    <t xml:space="preserve">CATEGORIA ECONÔMICA </t>
  </si>
  <si>
    <t>Corrente</t>
  </si>
  <si>
    <t xml:space="preserve">Capital </t>
  </si>
  <si>
    <t xml:space="preserve">FONTES </t>
  </si>
  <si>
    <t>USOS</t>
  </si>
  <si>
    <t>Variação % 
(C=B/A)</t>
  </si>
  <si>
    <t>5.  Receita da Arrecadação Líquida (RAL = 3 - 4)</t>
  </si>
  <si>
    <t>Anual</t>
  </si>
  <si>
    <t>Trimestral</t>
  </si>
  <si>
    <t>1.1.1.1.2 Anuidade Exercícios anteriores</t>
  </si>
  <si>
    <t>1.1.1.2.2 Anuidade Exercícios anteriores</t>
  </si>
  <si>
    <t>4) Atentar as orientações em amarelo em cada aba da Planilha .</t>
  </si>
  <si>
    <t>OBS: No item da categoria dos "Usos Correntes", deverão ser considerados os valores dos Aportes ao Fundo de Apoio, ao CSC , e à Reserva de Contingência.</t>
  </si>
  <si>
    <t>1.1 Receitas de Arrecadação Total</t>
  </si>
  <si>
    <t>x 100</t>
  </si>
  <si>
    <t>Mensal</t>
  </si>
  <si>
    <t>Semestral</t>
  </si>
  <si>
    <t>número de usuários satisfeitos com a solução da demanda</t>
  </si>
  <si>
    <t>número de usuários que responderam a pesquisa</t>
  </si>
  <si>
    <t>total de notícias sobre questões de Arquitetura e Urbanismo</t>
  </si>
  <si>
    <t>total de inserções do CAU na mídia</t>
  </si>
  <si>
    <t>passivo circulante</t>
  </si>
  <si>
    <t>total de profissionais ativos</t>
  </si>
  <si>
    <t>total de empresas inadimplentes</t>
  </si>
  <si>
    <t>horas totais de treinamento</t>
  </si>
  <si>
    <t>número total de colaboradores e dirigentes</t>
  </si>
  <si>
    <t>total de usuários internos que participaram da pesquisa</t>
  </si>
  <si>
    <t>total de usuários externos que participaram da pesquisa</t>
  </si>
  <si>
    <t>01 - Erradicação da pobreza</t>
  </si>
  <si>
    <t>05 - Igualdade de gênero</t>
  </si>
  <si>
    <t>08 - Trabalho decente e crescimento econômico</t>
  </si>
  <si>
    <t>10 - Redução das desigualdades</t>
  </si>
  <si>
    <t>11 - Cidades e comunidades sustentáveis</t>
  </si>
  <si>
    <t>14 - Vida na água</t>
  </si>
  <si>
    <t>16 - Paz, justiça e instituições eficazes</t>
  </si>
  <si>
    <t>17 - Parcerias e meios de implementação</t>
  </si>
  <si>
    <t>02 - Fome zero e agricultura sustentável</t>
  </si>
  <si>
    <t>03 - Saúde e bem-estar</t>
  </si>
  <si>
    <t>04 - Educação de qualidade</t>
  </si>
  <si>
    <t>06 - Água limpa e saneamento</t>
  </si>
  <si>
    <t>09 - Inovação infraestrutura</t>
  </si>
  <si>
    <t>12 - Consumo e produção responsáveis</t>
  </si>
  <si>
    <t>13 - Ação contra a mudança global do clima</t>
  </si>
  <si>
    <t>15 - Vida terrestre</t>
  </si>
  <si>
    <t xml:space="preserve">Correntes </t>
  </si>
  <si>
    <t>Capital</t>
  </si>
  <si>
    <t>I - Receitas</t>
  </si>
  <si>
    <t>II - Despesas</t>
  </si>
  <si>
    <r>
      <t>07 - Energia limpa e acessível</t>
    </r>
    <r>
      <rPr>
        <sz val="20"/>
        <color theme="1"/>
        <rFont val="Arial"/>
        <family val="2"/>
      </rPr>
      <t> </t>
    </r>
  </si>
  <si>
    <t>OBJETIVO ESTRATÉGICO</t>
  </si>
  <si>
    <t>CLASSE</t>
  </si>
  <si>
    <t xml:space="preserve"> AÇÃO ESTRATÉGICA PRIORITÁRIA</t>
  </si>
  <si>
    <t>DESCRIÇÃO</t>
  </si>
  <si>
    <t>Assegurar a eficácia no atendimento e no relacionamento com os Arquitetos e Urbanistas e a Sociedade</t>
  </si>
  <si>
    <t>Priorizada</t>
  </si>
  <si>
    <t>Uso de aplicativos e ferramentas de comunicação para prestar atendimento mais ágil e eficiente.</t>
  </si>
  <si>
    <t>Auto-Atendimento</t>
  </si>
  <si>
    <t>Qualificação dos Canais de Atendimento</t>
  </si>
  <si>
    <t>Ações para melhorar o nível de qualidade do atendimento, em suas diversas modalidades: Presencial, Telefone, E-Mail e SICCAU e processos (Registro de PF e PJ, Atualização Cadastral, RRT)</t>
  </si>
  <si>
    <t>Ações Locais em Mídia</t>
  </si>
  <si>
    <t>Ações Nacionais em Mídia</t>
  </si>
  <si>
    <t>Realização de Campanhas nacionais de comunicação (levando em conta eventuais diferenças regionais) em temas prioritários do CAU: ATHIS, Licitações, Ensino, Valorização da Profissão.</t>
  </si>
  <si>
    <t>Atualização do Portal da Transparência</t>
  </si>
  <si>
    <t>Ações para garantir que as informações constantes no Portal da Transparência estejam devidamente atualizadas.</t>
  </si>
  <si>
    <t>Estimular a produção da Arquitetura e Urbanismo como política de Estado</t>
  </si>
  <si>
    <t>Representação em Instâncias Públicas</t>
  </si>
  <si>
    <t>Ampliação da representação de Arquitetos e Urbanistas em Conselhos Públicos, tanto em nível estadual quanto municipal, para participar e conduzir as discussões.</t>
  </si>
  <si>
    <t>Câmaras Temáticas</t>
  </si>
  <si>
    <t>Estabelecimento e consolidação de câmaras temáticas para discussão e deliberação sobre temas prioritários do CAU: Acessibilidade, Patrimônio Histórico, Estudos Urbanos, etc.)</t>
  </si>
  <si>
    <t>Editais de Patrocínio</t>
  </si>
  <si>
    <t>Capacitação em ATHIS</t>
  </si>
  <si>
    <t>Fomento das ações de capacitação em ATHIS.</t>
  </si>
  <si>
    <t>Cooperação Técnica para ATHIS</t>
  </si>
  <si>
    <t>Realização de Ações e Formalização de Acordos e Convênios de Cooperação Técnica com Entes Públicos, de acordo com a realidade de cada UF.</t>
  </si>
  <si>
    <t>Influenciar as diretrizes do ensino de Arquitetura e Urbanismo e sua formação continuada</t>
  </si>
  <si>
    <t>Ações de Melhoria da Qualidade do Ensino</t>
  </si>
  <si>
    <t>Promoção e Participação em Eventos (Seminários, Cursos, Oficinas, Palestras, Aulas Magnas, etc.) realizados por ou em conjunto com IES, bem como realização de Campanhas pela Qualidade do Ensino</t>
  </si>
  <si>
    <t>CAU nas Escolas</t>
  </si>
  <si>
    <t>Realização de ações de divulgação da Arquitetura e Urbanismo nas escolhas de ensino básico e médio.</t>
  </si>
  <si>
    <t>Audiências de Conciliação</t>
  </si>
  <si>
    <t>Realização de Audiências de Conciliação em Processos Éticos.</t>
  </si>
  <si>
    <t>Melhoria de Processo Ético</t>
  </si>
  <si>
    <t>Realizar ações de melhoria no Processo Ético (Informatização, Redesenho de Processo), incluindo os processos de apuração de denúncia.</t>
  </si>
  <si>
    <t>Palestras e campanhas sobre Aspectos Éticos</t>
  </si>
  <si>
    <t>Realização de abordando definidos e partir do estudo das condutas de maior incidência em processos éticos.</t>
  </si>
  <si>
    <t>Cooperação Técnica para Fiscalização</t>
  </si>
  <si>
    <t>Formalização de Acordos e Convênios de Cooperação Técnica com Instituições, de acordo com a realidade de cada UF.</t>
  </si>
  <si>
    <t>Plataforma de Georreferenciamento</t>
  </si>
  <si>
    <t>Concepção e Implantação de processos de trabalho que faça uso de plataforma de georreferenciamento integrado (IGEO e outras tecnologias)</t>
  </si>
  <si>
    <t>Fiscalização Orientativa</t>
  </si>
  <si>
    <t>Realização de Campanhas de Orientação, com produção de material adequado aos diversos públicos envolvidos.</t>
  </si>
  <si>
    <t>Fiscalização em Obras</t>
  </si>
  <si>
    <t>Ações de fiscalização direta em obras.</t>
  </si>
  <si>
    <t>Serviços de Terceiros- Diárias</t>
  </si>
  <si>
    <t>Serviços de Terceiros- Passagens</t>
  </si>
  <si>
    <t>Serviços de Terceiros- Serviços Prestados</t>
  </si>
  <si>
    <t>Serviços de Terceiros- Aluguéis e Encargos</t>
  </si>
  <si>
    <t>Transferências Correntes</t>
  </si>
  <si>
    <t xml:space="preserve">Objetivos de Desenvolvimento Sustentável </t>
  </si>
  <si>
    <t>2.2 Outras Receitas de Capital</t>
  </si>
  <si>
    <t>1.3 Outras Receitas Correntes</t>
  </si>
  <si>
    <t>Objetivos de Desenvolvimento Sustentável (Facultativo)</t>
  </si>
  <si>
    <t>Não se aplica</t>
  </si>
  <si>
    <t>Atendimento Eletrônico</t>
  </si>
  <si>
    <t>Valorizar a Arquitetura e Urbanismo</t>
  </si>
  <si>
    <t>Garantir a participação dos Arquitetos e Urbanistas no planejamento territorial e na gestão urbana</t>
  </si>
  <si>
    <t xml:space="preserve">Reserva de Contingência </t>
  </si>
  <si>
    <t>P/A/ PE</t>
  </si>
  <si>
    <t>LEGENDA: P = PROJETO/ A = ATIVIDADE/ PE: PROJETO ESPECÍFICO / FP = FUNDO DE APOIO</t>
  </si>
  <si>
    <t>AT/N/R/E/C/PE</t>
  </si>
  <si>
    <t>FA</t>
  </si>
  <si>
    <t xml:space="preserve">Part. % (G)           </t>
  </si>
  <si>
    <t>Valores
 (E=D-A)</t>
  </si>
  <si>
    <t>%       
 (F=E/A)</t>
  </si>
  <si>
    <t>RRT mínima</t>
  </si>
  <si>
    <t>número de usuários internos satisfeitos com a tecnologia</t>
  </si>
  <si>
    <t>número de usuários externos satisfeitos com a tecnologia</t>
  </si>
  <si>
    <t>ativo circulante</t>
  </si>
  <si>
    <t>total de profissionais inadimplentes</t>
  </si>
  <si>
    <t>número de processos éticos concluídos em um ano</t>
  </si>
  <si>
    <t>Variação
(%)</t>
  </si>
  <si>
    <t>Projetos Específicos</t>
  </si>
  <si>
    <t>II - Despesas de capital</t>
  </si>
  <si>
    <t>III - Projetos específicos</t>
  </si>
  <si>
    <t>A. Saldo IV = (I-II-III)</t>
  </si>
  <si>
    <t xml:space="preserve">A custear com Recursos do Superávit Financeiro (R$)
 (E) </t>
  </si>
  <si>
    <t>Fundo de Apoio 
 (F)</t>
  </si>
  <si>
    <t>% Utilização do Fundo de Apoio
(G=F/D)</t>
  </si>
  <si>
    <t xml:space="preserve"> Valor(R$)
(H=D-A)</t>
  </si>
  <si>
    <t>% 
(I= H/A *100)</t>
  </si>
  <si>
    <t>2. COMENTÁRIOS/JUSTIFICATIVAS:</t>
  </si>
  <si>
    <t xml:space="preserve">Deliberações importantes </t>
  </si>
  <si>
    <t>Variação % 
(F=E/D)</t>
  </si>
  <si>
    <t>Orientações de Preenchimento dos Elementos de Despesas:</t>
  </si>
  <si>
    <t>Orientações para preenchimento do Modelo do Plano de Ação - Reprogramação 2021</t>
  </si>
  <si>
    <t>3) Usar o arquivo da Reprogramação 2021 enviado pela GERPLAN.</t>
  </si>
  <si>
    <t xml:space="preserve">RESOLUÇÃO N° 200, DE 15 DE DEZEMBRO DE 2020
</t>
  </si>
  <si>
    <t>RESOLUÇÃO N° 193, DE 24 DE SETEMBRO DE 2020</t>
  </si>
  <si>
    <t>2) Não alterar cores, fórmulas e formatações no modelo.</t>
  </si>
  <si>
    <r>
      <t xml:space="preserve">Orientação: Selecionar os objetivos estratégicos prioritários em âmbito local trabalhados em 2021. Os objetivos estratégicos. em âmbito nacional, foram alterados para : </t>
    </r>
    <r>
      <rPr>
        <sz val="12"/>
        <color rgb="FFFF0000"/>
        <rFont val="Calibri"/>
        <family val="2"/>
        <scheme val="minor"/>
      </rPr>
      <t xml:space="preserve">Fiscalização,  AU como Política de Estado e Acesso da Sociedade à AU, </t>
    </r>
    <r>
      <rPr>
        <b/>
        <sz val="12"/>
        <color theme="1"/>
        <rFont val="Calibri"/>
        <family val="2"/>
        <scheme val="minor"/>
      </rPr>
      <t>devem ser obrigatoriamente trabalhados.</t>
    </r>
  </si>
  <si>
    <r>
      <t xml:space="preserve">Índice de municípios que possuem  Plano Diretor, em conformidade com os critérios da legislação (%) 
</t>
    </r>
    <r>
      <rPr>
        <b/>
        <sz val="18"/>
        <color theme="1"/>
        <rFont val="Calibri"/>
        <family val="2"/>
        <scheme val="minor"/>
      </rPr>
      <t xml:space="preserve">(CAU/UF) </t>
    </r>
  </si>
  <si>
    <t>número de municípios  da UF que possuem  Plano Diretor</t>
  </si>
  <si>
    <t>total de municípios da UF</t>
  </si>
  <si>
    <r>
      <t xml:space="preserve">Índice da capacidade de fiscalização (%) 
</t>
    </r>
    <r>
      <rPr>
        <b/>
        <sz val="18"/>
        <rFont val="Calibri"/>
        <family val="2"/>
        <scheme val="minor"/>
      </rPr>
      <t xml:space="preserve">(CAU/UF) </t>
    </r>
  </si>
  <si>
    <t xml:space="preserve">quantidade de ações de fiscalização realizadas pelo CAU/UF no mês </t>
  </si>
  <si>
    <t xml:space="preserve">Mensal </t>
  </si>
  <si>
    <t xml:space="preserve">número de ações de fiscalização previstas no Plano de Ação aprovado </t>
  </si>
  <si>
    <r>
      <t xml:space="preserve">Índice de presença profissional nas obras e  serviços fiscalizados  (%)
</t>
    </r>
    <r>
      <rPr>
        <b/>
        <sz val="18"/>
        <rFont val="Calibri"/>
        <family val="2"/>
        <scheme val="minor"/>
      </rPr>
      <t xml:space="preserve">(CAU/UF) </t>
    </r>
    <r>
      <rPr>
        <sz val="18"/>
        <rFont val="Calibri"/>
        <family val="2"/>
        <scheme val="minor"/>
      </rPr>
      <t xml:space="preserve">                   </t>
    </r>
  </si>
  <si>
    <t>quantidade de obras e serviços regulares</t>
  </si>
  <si>
    <t>quantidade de obras e serviços fiscalizados pelo CAU/UF</t>
  </si>
  <si>
    <r>
      <t xml:space="preserve">Índice de RRT por profissional ativo (Qtd)
</t>
    </r>
    <r>
      <rPr>
        <b/>
        <sz val="18"/>
        <rFont val="Calibri"/>
        <family val="2"/>
        <scheme val="minor"/>
      </rPr>
      <t xml:space="preserve">(CAU/UF)         </t>
    </r>
    <r>
      <rPr>
        <sz val="18"/>
        <rFont val="Calibri"/>
        <family val="2"/>
        <scheme val="minor"/>
      </rPr>
      <t xml:space="preserve">       </t>
    </r>
  </si>
  <si>
    <t>número total de RRT registrados (pagos) por mês</t>
  </si>
  <si>
    <t xml:space="preserve"> total de profissionais ativos </t>
  </si>
  <si>
    <r>
      <t xml:space="preserve">Índice de capacidade de atendimento de denúncias  (%)
</t>
    </r>
    <r>
      <rPr>
        <b/>
        <sz val="18"/>
        <rFont val="Calibri"/>
        <family val="2"/>
        <scheme val="minor"/>
      </rPr>
      <t>(CAU/UF)</t>
    </r>
  </si>
  <si>
    <t>quantidade de denúncias atendidas</t>
  </si>
  <si>
    <t>número de denúncias recebidas</t>
  </si>
  <si>
    <r>
      <t xml:space="preserve">Índice de eficiência na conclusão de processos de fiscalização  (%)
</t>
    </r>
    <r>
      <rPr>
        <b/>
        <sz val="18"/>
        <rFont val="Calibri"/>
        <family val="2"/>
        <scheme val="minor"/>
      </rPr>
      <t>(CAU/UF)</t>
    </r>
  </si>
  <si>
    <t>número de processos de fiscalização concluídos no semestre</t>
  </si>
  <si>
    <t xml:space="preserve"> número total de processos de fiscalização em aberto no ano</t>
  </si>
  <si>
    <r>
      <t xml:space="preserve">Índice da capacidade de articulação institucional para fiscalização (%)
</t>
    </r>
    <r>
      <rPr>
        <b/>
        <sz val="18"/>
        <rFont val="Calibri"/>
        <family val="2"/>
        <scheme val="minor"/>
      </rPr>
      <t>(CAU/UF)</t>
    </r>
  </si>
  <si>
    <t>quantidade de termos de cooperação técnica e parcerias para racionalização da ações de fiscalização</t>
  </si>
  <si>
    <t>número de termos e parcerias previstos no Plano de Ação</t>
  </si>
  <si>
    <r>
      <t xml:space="preserve">Índice produtividade de fiscalização (%)
</t>
    </r>
    <r>
      <rPr>
        <b/>
        <sz val="18"/>
        <rFont val="Calibri"/>
        <family val="2"/>
        <scheme val="minor"/>
      </rPr>
      <t>(CAU/UF)</t>
    </r>
  </si>
  <si>
    <t>quantidade mensal de ações de fiscalização realizada</t>
  </si>
  <si>
    <t>número de horas de fiscalização mensal</t>
  </si>
  <si>
    <r>
      <t xml:space="preserve">Índice de regularidade no CAU (%)
</t>
    </r>
    <r>
      <rPr>
        <b/>
        <sz val="18"/>
        <rFont val="Calibri"/>
        <family val="2"/>
        <scheme val="minor"/>
      </rPr>
      <t>(CAU/UF)</t>
    </r>
  </si>
  <si>
    <t>quantidade obras e serviços com RRT</t>
  </si>
  <si>
    <r>
      <t xml:space="preserve">Índice de regularização de obras e serviços (%)
</t>
    </r>
    <r>
      <rPr>
        <b/>
        <sz val="18"/>
        <rFont val="Calibri"/>
        <family val="2"/>
        <scheme val="minor"/>
      </rPr>
      <t>(CAU/UF)</t>
    </r>
  </si>
  <si>
    <t>quantidade de obras e serviços regularizados</t>
  </si>
  <si>
    <r>
      <t xml:space="preserve">Índice de regularização com RRT (%)
</t>
    </r>
    <r>
      <rPr>
        <b/>
        <sz val="18"/>
        <rFont val="Calibri"/>
        <family val="2"/>
        <scheme val="minor"/>
      </rPr>
      <t>(CAU/UF)</t>
    </r>
  </si>
  <si>
    <t>quantidade de obras e serviços regularizados com RRT</t>
  </si>
  <si>
    <t>quantidade obras e serviços regularizados</t>
  </si>
  <si>
    <r>
      <t xml:space="preserve">Índice de atendimento (%)
</t>
    </r>
    <r>
      <rPr>
        <b/>
        <sz val="18"/>
        <rFont val="Calibri"/>
        <family val="2"/>
        <scheme val="minor"/>
      </rPr>
      <t>(CAU/UF)</t>
    </r>
  </si>
  <si>
    <t>Número de solicitações tratadas no prazo estipulado pela Carta de Serviços no trimestre</t>
  </si>
  <si>
    <t>Número de solicitações abertas no trimestre</t>
  </si>
  <si>
    <r>
      <t xml:space="preserve">Índice de satisfação com a solução da demanda (%)
</t>
    </r>
    <r>
      <rPr>
        <b/>
        <sz val="18"/>
        <rFont val="Calibri"/>
        <family val="2"/>
        <scheme val="minor"/>
      </rPr>
      <t>(CAU/UF)</t>
    </r>
  </si>
  <si>
    <r>
      <t xml:space="preserve">Índice de reclamações recebidas na Ouvidoria (%)
</t>
    </r>
    <r>
      <rPr>
        <b/>
        <sz val="18"/>
        <rFont val="Calibri"/>
        <family val="2"/>
        <scheme val="minor"/>
      </rPr>
      <t>(CAU/UF)</t>
    </r>
  </si>
  <si>
    <t xml:space="preserve">número de reclamações recebidas pela Ouvidoria  no trimestre                                                                                                               </t>
  </si>
  <si>
    <t xml:space="preserve">número total de atendimentos pela Ouvidoria no trimestre                                   </t>
  </si>
  <si>
    <r>
      <t xml:space="preserve">Índice da capacidade de execução dos investimentos em patrocínios  (%)
</t>
    </r>
    <r>
      <rPr>
        <b/>
        <sz val="18"/>
        <rFont val="Calibri"/>
        <family val="2"/>
        <scheme val="minor"/>
      </rPr>
      <t>(CAU/UF)</t>
    </r>
  </si>
  <si>
    <t>valor orçamentário investido (executado) em patrocínios no ano</t>
  </si>
  <si>
    <t xml:space="preserve">Anual
</t>
  </si>
  <si>
    <t>valor orçamentário destinado (orçado) em patrocínios no ano</t>
  </si>
  <si>
    <r>
      <t xml:space="preserve">Índice de difusão de conhecimento em eventos próprios (%)
</t>
    </r>
    <r>
      <rPr>
        <b/>
        <sz val="18"/>
        <rFont val="Calibri"/>
        <family val="2"/>
        <scheme val="minor"/>
      </rPr>
      <t>(CAU/UF)</t>
    </r>
  </si>
  <si>
    <t>Quantidade de participantes presentes</t>
  </si>
  <si>
    <t>quantidade de participantes previstas no Plano de Ação Aprovado</t>
  </si>
  <si>
    <r>
      <t xml:space="preserve">Índice de eficiência de custos de eventos próprios
</t>
    </r>
    <r>
      <rPr>
        <b/>
        <sz val="18"/>
        <rFont val="Calibri"/>
        <family val="2"/>
        <scheme val="minor"/>
      </rPr>
      <t>(CAU/UF)</t>
    </r>
  </si>
  <si>
    <t>custos totais dos eventos</t>
  </si>
  <si>
    <t>quantidade de participantes presentes</t>
  </si>
  <si>
    <r>
      <t xml:space="preserve">Índice de alcance das melhores práticas (%)
</t>
    </r>
    <r>
      <rPr>
        <b/>
        <sz val="18"/>
        <rFont val="Calibri"/>
        <family val="2"/>
        <scheme val="minor"/>
      </rPr>
      <t>(CAU/UF)</t>
    </r>
  </si>
  <si>
    <t>número de pessoas atingida pelo material produzido e distribuído</t>
  </si>
  <si>
    <t>quantidade de material informativo produzido</t>
  </si>
  <si>
    <r>
      <t xml:space="preserve">Ações realizadas em conjunto com municípios, destinadas ao planejamento urbano
</t>
    </r>
    <r>
      <rPr>
        <b/>
        <sz val="18"/>
        <color theme="1"/>
        <rFont val="Calibri"/>
        <family val="2"/>
        <scheme val="minor"/>
      </rPr>
      <t>(CAU/UF)</t>
    </r>
  </si>
  <si>
    <t>número de ações com participação do CAU/UF</t>
  </si>
  <si>
    <r>
      <t xml:space="preserve">Participação do CAU na elaboração ou regulamentação da Lei da Assistência Técnica Gratuita (Lei nº 11.888/08) (%)
</t>
    </r>
    <r>
      <rPr>
        <b/>
        <sz val="18"/>
        <rFont val="Calibri"/>
        <family val="2"/>
        <scheme val="minor"/>
      </rPr>
      <t>(CAU/UF)</t>
    </r>
  </si>
  <si>
    <t>número de municípios da UF que passaram a aplicar a Lei de Assistência Técnica</t>
  </si>
  <si>
    <r>
      <t xml:space="preserve">Índice de ações realizadas destinadas à Assistência Técnica (%)
</t>
    </r>
    <r>
      <rPr>
        <b/>
        <sz val="18"/>
        <rFont val="Calibri"/>
        <family val="2"/>
        <scheme val="minor"/>
      </rPr>
      <t>(CAU/UF)</t>
    </r>
  </si>
  <si>
    <r>
      <t xml:space="preserve">Acessos à página do CAU (Qtd.)
</t>
    </r>
    <r>
      <rPr>
        <b/>
        <sz val="18"/>
        <rFont val="Calibri"/>
        <family val="2"/>
        <scheme val="minor"/>
      </rPr>
      <t>(CAU/UF)</t>
    </r>
  </si>
  <si>
    <t>quantidade de acessos qualificados (visitantes únicos) a página do CAU/UF</t>
  </si>
  <si>
    <r>
      <t xml:space="preserve">Índice de presença na mídia como um todo (%)
</t>
    </r>
    <r>
      <rPr>
        <b/>
        <sz val="18"/>
        <rFont val="Calibri"/>
        <family val="2"/>
        <scheme val="minor"/>
      </rPr>
      <t>(CAU/UF)</t>
    </r>
  </si>
  <si>
    <t>número de inserções na mídia em geral onde o CAU/UF foi citado</t>
  </si>
  <si>
    <r>
      <t xml:space="preserve">Índice de inserções positivas na mídia (%)
</t>
    </r>
    <r>
      <rPr>
        <b/>
        <sz val="18"/>
        <rFont val="Calibri"/>
        <family val="2"/>
        <scheme val="minor"/>
      </rPr>
      <t>(CAU/UF)</t>
    </r>
  </si>
  <si>
    <t>número de inserções positivas do CAU/UF na mídia</t>
  </si>
  <si>
    <t>Número de  visualizações das publicações do CAU/UF das redes sociais</t>
  </si>
  <si>
    <t>quantidade de visualizações das publicações do CAU/UF das redes sociais</t>
  </si>
  <si>
    <r>
      <t xml:space="preserve">Índice de escolas que possuem disciplinas com conteúdo sobre a ética profissional (%)
</t>
    </r>
    <r>
      <rPr>
        <b/>
        <sz val="18"/>
        <rFont val="Calibri"/>
        <family val="2"/>
        <scheme val="minor"/>
      </rPr>
      <t>(CAU/UF)</t>
    </r>
  </si>
  <si>
    <t>número de escolas da UF com a disciplina de ética profissional na grade curricular</t>
  </si>
  <si>
    <t>número total de escolas da UF</t>
  </si>
  <si>
    <r>
      <t xml:space="preserve">Índice de eficiência na conclusão de processos éticos (%)
</t>
    </r>
    <r>
      <rPr>
        <b/>
        <sz val="18"/>
        <rFont val="Calibri"/>
        <family val="2"/>
        <scheme val="minor"/>
      </rPr>
      <t>(CAU/UF)</t>
    </r>
  </si>
  <si>
    <t>número total de processos éticos abertos</t>
  </si>
  <si>
    <r>
      <t xml:space="preserve">Eficiência no trâmite de processos éticos (dias)
</t>
    </r>
    <r>
      <rPr>
        <b/>
        <sz val="18"/>
        <rFont val="Calibri"/>
        <family val="2"/>
        <scheme val="minor"/>
      </rPr>
      <t>(CAU/UF)</t>
    </r>
  </si>
  <si>
    <t>tempo médio de conclusão de processos éticos</t>
  </si>
  <si>
    <t>tempo máximo para conclusão de processo</t>
  </si>
  <si>
    <r>
      <t xml:space="preserve">Índice de RRT por população (1.000 habitantes) (%)
</t>
    </r>
    <r>
      <rPr>
        <b/>
        <sz val="18"/>
        <rFont val="Calibri"/>
        <family val="2"/>
        <scheme val="minor"/>
      </rPr>
      <t>(CAU/UF)</t>
    </r>
  </si>
  <si>
    <t>total de RRT na UF</t>
  </si>
  <si>
    <t>população total da UF/1000 habitantes</t>
  </si>
  <si>
    <r>
      <t xml:space="preserve">Índice de RRT mínimos (%)
</t>
    </r>
    <r>
      <rPr>
        <b/>
        <sz val="18"/>
        <rFont val="Calibri"/>
        <family val="2"/>
        <scheme val="minor"/>
      </rPr>
      <t>(CAU/UF)</t>
    </r>
  </si>
  <si>
    <r>
      <t xml:space="preserve">Índice de RRT Social (%)
</t>
    </r>
    <r>
      <rPr>
        <b/>
        <sz val="18"/>
        <rFont val="Calibri"/>
        <family val="2"/>
        <scheme val="minor"/>
      </rPr>
      <t>(CAU/UF)</t>
    </r>
  </si>
  <si>
    <t>RRT Social</t>
  </si>
  <si>
    <r>
      <t xml:space="preserve">Índice de receita por arquiteto e urbanista 
</t>
    </r>
    <r>
      <rPr>
        <b/>
        <sz val="18"/>
        <rFont val="Calibri"/>
        <family val="2"/>
        <scheme val="minor"/>
      </rPr>
      <t>(CAU/UF)</t>
    </r>
  </si>
  <si>
    <t>receita corrente</t>
  </si>
  <si>
    <t xml:space="preserve">Semestral 
</t>
  </si>
  <si>
    <r>
      <t xml:space="preserve">Relação receita/custo total de pessoal (%)
</t>
    </r>
    <r>
      <rPr>
        <b/>
        <sz val="18"/>
        <rFont val="Calibri"/>
        <family val="2"/>
        <scheme val="minor"/>
      </rPr>
      <t>(CAU/UF)</t>
    </r>
  </si>
  <si>
    <t>custo total de pessoal</t>
  </si>
  <si>
    <t xml:space="preserve">Semestral </t>
  </si>
  <si>
    <r>
      <t xml:space="preserve">Índice de liquidez corrente 
</t>
    </r>
    <r>
      <rPr>
        <b/>
        <sz val="18"/>
        <rFont val="Calibri"/>
        <family val="2"/>
        <scheme val="minor"/>
      </rPr>
      <t>(CAU/UF)</t>
    </r>
  </si>
  <si>
    <r>
      <t xml:space="preserve">Índice de inadimplência pessoa física (%)
</t>
    </r>
    <r>
      <rPr>
        <b/>
        <sz val="18"/>
        <rFont val="Calibri"/>
        <family val="2"/>
        <scheme val="minor"/>
      </rPr>
      <t>(CAU/UF)</t>
    </r>
  </si>
  <si>
    <t xml:space="preserve">total de profissionais ativos </t>
  </si>
  <si>
    <r>
      <t xml:space="preserve">Índice de inadimplência pessoa jurídica (%)
</t>
    </r>
    <r>
      <rPr>
        <b/>
        <sz val="18"/>
        <rFont val="Calibri"/>
        <family val="2"/>
        <scheme val="minor"/>
      </rPr>
      <t>(CAU/UF)</t>
    </r>
  </si>
  <si>
    <t xml:space="preserve">total de empresas ativas </t>
  </si>
  <si>
    <r>
      <t xml:space="preserve">Índice de mapeamento processos (%)
</t>
    </r>
    <r>
      <rPr>
        <b/>
        <sz val="18"/>
        <rFont val="Calibri"/>
        <family val="2"/>
        <scheme val="minor"/>
      </rPr>
      <t>(CAU/UF)</t>
    </r>
  </si>
  <si>
    <t>número de processos mapeados</t>
  </si>
  <si>
    <t xml:space="preserve">total de processos existentes </t>
  </si>
  <si>
    <r>
      <t xml:space="preserve">Índice de normatização de processos (%)
</t>
    </r>
    <r>
      <rPr>
        <b/>
        <sz val="18"/>
        <rFont val="Calibri"/>
        <family val="2"/>
        <scheme val="minor"/>
      </rPr>
      <t>(CAU/UF)</t>
    </r>
  </si>
  <si>
    <t>número de processos normatizados</t>
  </si>
  <si>
    <t>total de processos existentes</t>
  </si>
  <si>
    <r>
      <t xml:space="preserve">Índice de automação de processos (%)
</t>
    </r>
    <r>
      <rPr>
        <b/>
        <sz val="18"/>
        <rFont val="Calibri"/>
        <family val="2"/>
        <scheme val="minor"/>
      </rPr>
      <t>(CAU/UF)</t>
    </r>
  </si>
  <si>
    <t>número de processos automatizados</t>
  </si>
  <si>
    <r>
      <t xml:space="preserve">Média de horas de treinamento por colaboradores e dirigentes
</t>
    </r>
    <r>
      <rPr>
        <b/>
        <sz val="18"/>
        <rFont val="Calibri"/>
        <family val="2"/>
        <scheme val="minor"/>
      </rPr>
      <t>(CAU/UF)</t>
    </r>
  </si>
  <si>
    <t>Número de ações executadas</t>
  </si>
  <si>
    <t xml:space="preserve">quantidade de ações executadas voltadas à cultura organizacional e estratégia                                                                                                                  </t>
  </si>
  <si>
    <t>Índice de cumprimento das metas do Plano de Ação (%)</t>
  </si>
  <si>
    <r>
      <t>total de iniciativas executadas</t>
    </r>
    <r>
      <rPr>
        <b/>
        <sz val="18"/>
        <rFont val="Calibri"/>
        <family val="2"/>
        <scheme val="minor"/>
      </rPr>
      <t xml:space="preserve">                                                                       </t>
    </r>
  </si>
  <si>
    <r>
      <t>total de iniciativas planejadas</t>
    </r>
    <r>
      <rPr>
        <b/>
        <sz val="18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</si>
  <si>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Índice de satisfação interna com a tecnologia utilizada (%)
</t>
    </r>
    <r>
      <rPr>
        <b/>
        <sz val="18"/>
        <rFont val="Calibri"/>
        <family val="2"/>
        <scheme val="minor"/>
      </rPr>
      <t>(CAU/UF)</t>
    </r>
  </si>
  <si>
    <r>
      <t xml:space="preserve">Índice de satisfação externa com a tecnologia utilizada (%)
</t>
    </r>
    <r>
      <rPr>
        <b/>
        <sz val="18"/>
        <rFont val="Calibri"/>
        <family val="2"/>
        <scheme val="minor"/>
      </rPr>
      <t>(CAU/UF)</t>
    </r>
  </si>
  <si>
    <t>Meta
Reprogramação
2021</t>
  </si>
  <si>
    <t>Meta
Programação
2021</t>
  </si>
  <si>
    <t>Programação 2021 
(A)</t>
  </si>
  <si>
    <t>Reprogramação 2021</t>
  </si>
  <si>
    <t>Execução Jan/Maio
 (B)</t>
  </si>
  <si>
    <t>Projetado Jun/Dez
 (C )</t>
  </si>
  <si>
    <t>Reprogramação 2021
 (D)</t>
  </si>
  <si>
    <t xml:space="preserve">Variação (2021/2021) </t>
  </si>
  <si>
    <t>PLANO DE AÇÃO - REPROGRAMAÇÃO  2021</t>
  </si>
  <si>
    <t>Anexo 1 - Demonstrativo de Usos e Fontes - Reprogramação 2021</t>
  </si>
  <si>
    <t>Programação 2021
 (A)</t>
  </si>
  <si>
    <t>Proposta Reprogramação 2021 (D=B+C)</t>
  </si>
  <si>
    <t>Orientação:  Na proposta da Reprogramação 2021, para as receitas  de Arrecadação - anuidades de PF e PJ  (do exercício 2021 e dos exercícios anteriores), RRT, taxas e multas, devem ser considerados os valores constantes das Diretrizes da Reprogramação 2021. As receitas de exercícios anteriores devem ser projetadas no mínimo de 10% do valor total a ser arrecadado por cada CAU/UF.  As células sinalizadas, em cinza, são fórmulas e não devem ser modificadas. Verificar os comentários colocando o cursor na célula correspondente, no cabeçalho.</t>
  </si>
  <si>
    <t>Projetado
Jun/Dez  (C)</t>
  </si>
  <si>
    <t>Execução 
Jan/Maio (B)</t>
  </si>
  <si>
    <t>1.1.1.1.1 Anuidade do Exercício 2021</t>
  </si>
  <si>
    <t>1.1.1.2.1 Anuidade do Exercício 2021</t>
  </si>
  <si>
    <t>II. APLICAÇÕES</t>
  </si>
  <si>
    <t>RESUMO DA REPROGRAMAÇÃO  ORDINÁRIA 2021 - POR CATEGORIA ECONÔMICA</t>
  </si>
  <si>
    <t>Programação 
2021 
(A)</t>
  </si>
  <si>
    <t>Reprogramação 
2021
(B)</t>
  </si>
  <si>
    <t>Programação 
2021
(D)</t>
  </si>
  <si>
    <t>Reprogramação 
2021
(E)</t>
  </si>
  <si>
    <t>COMENTÁRIOS/JUSTIFICATIVAS:</t>
  </si>
  <si>
    <t xml:space="preserve">Superávit Financeiro </t>
  </si>
  <si>
    <t>I - Superávit financeiro Acumulado  em 2020</t>
  </si>
  <si>
    <t>Atenção: É vedada a utilização dos recursos do superávit financeiro para remuneração de pessoal efetivo e de ocupantes de empregos de livre provimento e demissão, bem como os encargos sociais inerentes.</t>
  </si>
  <si>
    <t>III a- Percentual de utilização para PE</t>
  </si>
  <si>
    <t>Deliberação que aprova PE</t>
  </si>
  <si>
    <t>Programação
 2021</t>
  </si>
  <si>
    <t>Reprogramação
 2021</t>
  </si>
  <si>
    <t>Anexo 2 - Limites de Aplicação dos Recursos Estratégicos - Reprogramação Ordinária de 2021</t>
  </si>
  <si>
    <t xml:space="preserve">1. Receita de Arrecadação Total </t>
  </si>
  <si>
    <t>COMENTÁRIOS/JUSTIFICATIVAS, quando da flexibilização da aplicação de recursos mínimos e máximos dos limites estratégicos  do Plano de Ação e Orçamento de 2021</t>
  </si>
  <si>
    <t>OBS 1:  Vedada a inobservância de aplicação do percentual mínimo de 15% (quinze por cento) da Receita de Arrecadação Líquida (RAL) nas atividades de Fiscalização e do percentual máximo de 55% da Receita Corrente com as Despesas com Pessoal.</t>
  </si>
  <si>
    <t>OBS 2: Os órgãos deliberativos dos CAU/UF poderão, mediante as justificativas próprias, flexibilizar a aplicação de recursos mínimos e máximos na Reprogramação do Plano de Ação e Orçamento de 2021."</t>
  </si>
  <si>
    <r>
      <t xml:space="preserve">Fiscalização
</t>
    </r>
    <r>
      <rPr>
        <b/>
        <sz val="14"/>
        <color rgb="FF008080"/>
        <rFont val="Calibri"/>
        <family val="2"/>
      </rPr>
      <t xml:space="preserve">(mínimo de 15 % do total da RAL) </t>
    </r>
    <r>
      <rPr>
        <b/>
        <sz val="14"/>
        <color rgb="FF009999"/>
        <rFont val="Calibri"/>
        <family val="2"/>
      </rPr>
      <t xml:space="preserve">   </t>
    </r>
    <r>
      <rPr>
        <b/>
        <sz val="14"/>
        <color indexed="8"/>
        <rFont val="Calibri"/>
        <family val="2"/>
      </rPr>
      <t xml:space="preserve">                                                                     </t>
    </r>
  </si>
  <si>
    <r>
      <t xml:space="preserve">Atendimento
</t>
    </r>
    <r>
      <rPr>
        <b/>
        <sz val="14"/>
        <color rgb="FF008080"/>
        <rFont val="Calibri"/>
        <family val="2"/>
      </rPr>
      <t>(mínimo de 10 % do total da RAL)</t>
    </r>
  </si>
  <si>
    <r>
      <t xml:space="preserve">Comunicação
</t>
    </r>
    <r>
      <rPr>
        <b/>
        <sz val="14"/>
        <color rgb="FF008080"/>
        <rFont val="Calibri"/>
        <family val="2"/>
      </rPr>
      <t>(mínimo de 3% do total da RAL)</t>
    </r>
    <r>
      <rPr>
        <b/>
        <sz val="14"/>
        <color indexed="21"/>
        <rFont val="Calibri"/>
        <family val="2"/>
      </rPr>
      <t xml:space="preserve">             </t>
    </r>
    <r>
      <rPr>
        <b/>
        <sz val="14"/>
        <color indexed="57"/>
        <rFont val="Calibri"/>
        <family val="2"/>
      </rPr>
      <t xml:space="preserve">                                                                                </t>
    </r>
  </si>
  <si>
    <r>
      <t xml:space="preserve">Patrocínio
</t>
    </r>
    <r>
      <rPr>
        <b/>
        <sz val="14"/>
        <color rgb="FF008080"/>
        <rFont val="Calibri"/>
        <family val="2"/>
      </rPr>
      <t xml:space="preserve">(máximo de 5% do total da RAL) </t>
    </r>
    <r>
      <rPr>
        <b/>
        <sz val="14"/>
        <color indexed="21"/>
        <rFont val="Calibri"/>
        <family val="2"/>
      </rPr>
      <t xml:space="preserve">  </t>
    </r>
    <r>
      <rPr>
        <b/>
        <sz val="14"/>
        <color indexed="10"/>
        <rFont val="Calibri"/>
        <family val="2"/>
      </rPr>
      <t xml:space="preserve">      </t>
    </r>
    <r>
      <rPr>
        <b/>
        <sz val="14"/>
        <color indexed="8"/>
        <rFont val="Calibri"/>
        <family val="2"/>
      </rPr>
      <t xml:space="preserve">                                                                            </t>
    </r>
  </si>
  <si>
    <r>
      <t xml:space="preserve">Objetivos Estratégicos Locais             </t>
    </r>
    <r>
      <rPr>
        <b/>
        <sz val="14"/>
        <color indexed="21"/>
        <rFont val="Calibri"/>
        <family val="2"/>
      </rPr>
      <t xml:space="preserve"> </t>
    </r>
    <r>
      <rPr>
        <b/>
        <sz val="14"/>
        <color rgb="FFFF0000"/>
        <rFont val="Calibri"/>
        <family val="2"/>
      </rPr>
      <t xml:space="preserve"> </t>
    </r>
    <r>
      <rPr>
        <b/>
        <sz val="14"/>
        <color rgb="FF008080"/>
        <rFont val="Calibri"/>
        <family val="2"/>
      </rPr>
      <t xml:space="preserve">(mínimo de 6 % do total da RAL)      </t>
    </r>
    <r>
      <rPr>
        <b/>
        <sz val="14"/>
        <color indexed="21"/>
        <rFont val="Calibri"/>
        <family val="2"/>
      </rPr>
      <t xml:space="preserve">                   </t>
    </r>
  </si>
  <si>
    <r>
      <t xml:space="preserve">Assistência Técnica                            </t>
    </r>
    <r>
      <rPr>
        <b/>
        <sz val="14"/>
        <color rgb="FF008080"/>
        <rFont val="Calibri"/>
        <family val="2"/>
        <scheme val="minor"/>
      </rPr>
      <t xml:space="preserve">(mínimo de 2% do total da RAL)  </t>
    </r>
    <r>
      <rPr>
        <b/>
        <sz val="14"/>
        <color theme="1"/>
        <rFont val="Calibri"/>
        <family val="2"/>
        <scheme val="minor"/>
      </rPr>
      <t xml:space="preserve">  </t>
    </r>
  </si>
  <si>
    <r>
      <t xml:space="preserve">Reserva de Contingência                          </t>
    </r>
    <r>
      <rPr>
        <b/>
        <sz val="14"/>
        <color rgb="FF008080"/>
        <rFont val="Calibri"/>
        <family val="2"/>
      </rPr>
      <t xml:space="preserve">(até 2 % do total da RAL)  </t>
    </r>
    <r>
      <rPr>
        <b/>
        <sz val="14"/>
        <color indexed="21"/>
        <rFont val="Calibri"/>
        <family val="2"/>
      </rPr>
      <t xml:space="preserve">            </t>
    </r>
  </si>
  <si>
    <r>
      <t xml:space="preserve"> Despesas com Pessoal 
</t>
    </r>
    <r>
      <rPr>
        <b/>
        <sz val="14"/>
        <color rgb="FF008080"/>
        <rFont val="Calibri"/>
        <family val="2"/>
        <scheme val="minor"/>
      </rPr>
      <t>(máximo de 55% sobre as Receitas Correntes)</t>
    </r>
  </si>
  <si>
    <r>
      <t xml:space="preserve">Capacitação
</t>
    </r>
    <r>
      <rPr>
        <b/>
        <sz val="14"/>
        <color rgb="FF008080"/>
        <rFont val="Calibri"/>
        <family val="2"/>
        <scheme val="minor"/>
      </rPr>
      <t>(mínimo de 2% e máximo de 4% da Folha de Pagamento)</t>
    </r>
    <r>
      <rPr>
        <b/>
        <sz val="14"/>
        <color rgb="FF008080"/>
        <rFont val="Calibri"/>
        <family val="2"/>
      </rPr>
      <t xml:space="preserve">     </t>
    </r>
    <r>
      <rPr>
        <b/>
        <sz val="14"/>
        <color indexed="57"/>
        <rFont val="Calibri"/>
        <family val="2"/>
      </rPr>
      <t xml:space="preserve">         </t>
    </r>
  </si>
  <si>
    <t>Orientação:  As células sinalizadas, em cinza, são fórmulas e não devem ser modificadas.</t>
  </si>
  <si>
    <t xml:space="preserve">Reserva de 
Contingência </t>
  </si>
  <si>
    <r>
      <t>Os itens de custo devem ser:
•</t>
    </r>
    <r>
      <rPr>
        <b/>
        <sz val="20"/>
        <color theme="1"/>
        <rFont val="Arial"/>
        <family val="2"/>
      </rPr>
      <t xml:space="preserve"> Pessoal (Salários, Encargos e Benefícios) </t>
    </r>
    <r>
      <rPr>
        <sz val="20"/>
        <color theme="1"/>
        <rFont val="Arial"/>
        <family val="2"/>
      </rPr>
      <t xml:space="preserve">
a) Pessoal e Encargos:  compreende salários; gratificações; 13º salário; férias; 1/3 férias, abono e horas extras; INSS; FGTS e PIS; vale transporte, auxílio alimentação, plano de saúde e outros benefícios.
b) Diárias – compreende diárias de funcionários com vínculo empregatício com o Conselho.
</t>
    </r>
    <r>
      <rPr>
        <b/>
        <sz val="20"/>
        <color theme="1"/>
        <rFont val="Arial"/>
        <family val="2"/>
      </rPr>
      <t>• Material de Consumo</t>
    </r>
    <r>
      <rPr>
        <sz val="20"/>
        <color theme="1"/>
        <rFont val="Arial"/>
        <family val="2"/>
      </rPr>
      <t xml:space="preserve"> – compreende material de expediente; informática; e outros materiais de consumo que não sejam classificados como material permanente. 
</t>
    </r>
    <r>
      <rPr>
        <b/>
        <sz val="20"/>
        <color theme="1"/>
        <rFont val="Arial"/>
        <family val="2"/>
      </rPr>
      <t xml:space="preserve">• Serviços de Terceiros: </t>
    </r>
    <r>
      <rPr>
        <sz val="20"/>
        <color theme="1"/>
        <rFont val="Arial"/>
        <family val="2"/>
      </rPr>
      <t xml:space="preserve">
a) Diárias – compreende diárias do presidente, de conselheiros e de convidados.
b) Passagens – compreende passagens de funcionários, presidente, conselheiros, e convidados.
c) Serviços Prestados (PF e PJ) – compreende todo serviço prestado por pessoa jurídica como: consultorias; serviços de comunicação e divulgação; manutenção de sistemas informatizados; locação de bens móveis e imóveis, condomínios, reparos e conservação de bens móveis e imóveis; serviços de água e energia elétrica; correios; telecomunicações e outras despesas correntes não classificáveis nos itens anteriores e  remunerações de serviços prestados por pessoa física; remuneração de estagiários, e remuneração de menores aprendizes.
</t>
    </r>
    <r>
      <rPr>
        <b/>
        <sz val="20"/>
        <color theme="1"/>
        <rFont val="Arial"/>
        <family val="2"/>
      </rPr>
      <t>. Transferências Correntes</t>
    </r>
    <r>
      <rPr>
        <sz val="20"/>
        <color theme="1"/>
        <rFont val="Arial"/>
        <family val="2"/>
      </rPr>
      <t xml:space="preserve">: compreende os repasses ao Fundo de Apoio; os repasses ao Centro de Serviço Compartilhado - CSC; convênios, acordos, ajuda as entidades e patrocínios.
</t>
    </r>
    <r>
      <rPr>
        <b/>
        <sz val="20"/>
        <color theme="1"/>
        <rFont val="Arial"/>
        <family val="2"/>
      </rPr>
      <t xml:space="preserve">. Reserva de Contingência: </t>
    </r>
    <r>
      <rPr>
        <sz val="20"/>
        <color theme="1"/>
        <rFont val="Arial"/>
        <family val="2"/>
      </rPr>
      <t xml:space="preserve">compreende as despesas não previstas no plano de ação.
</t>
    </r>
    <r>
      <rPr>
        <b/>
        <sz val="20"/>
        <color theme="1"/>
        <rFont val="Arial"/>
        <family val="2"/>
      </rPr>
      <t>. Encargos Diversos –</t>
    </r>
    <r>
      <rPr>
        <sz val="20"/>
        <color theme="1"/>
        <rFont val="Arial"/>
        <family val="2"/>
      </rPr>
      <t xml:space="preserve"> compreende as taxas bancárias; impostos e taxas diversas; despesas judiciais; e outros encargos.
</t>
    </r>
    <r>
      <rPr>
        <b/>
        <sz val="20"/>
        <color theme="1"/>
        <rFont val="Arial"/>
        <family val="2"/>
      </rPr>
      <t xml:space="preserve">. Imobilizado </t>
    </r>
    <r>
      <rPr>
        <sz val="20"/>
        <color theme="1"/>
        <rFont val="Arial"/>
        <family val="2"/>
      </rPr>
      <t xml:space="preserve">– compreende os investimentos como: aquisição de equipamentos e materiais permanentes; aquisição de imóveis; e outros investimentos.
</t>
    </r>
  </si>
  <si>
    <t>Anexo 3- Aplicações por Projeto/Atividade - por Elemento de Despesa (Consolidado) - Reprogramação 2021</t>
  </si>
  <si>
    <r>
      <t xml:space="preserve">OBS: As ações estratégias são específicas de cada objetivo estratégico. A opção </t>
    </r>
    <r>
      <rPr>
        <b/>
        <sz val="22"/>
        <color theme="1"/>
        <rFont val="Calibri"/>
        <family val="2"/>
        <scheme val="minor"/>
      </rPr>
      <t>"Não se aplica</t>
    </r>
    <r>
      <rPr>
        <sz val="22"/>
        <color theme="1"/>
        <rFont val="Calibri"/>
        <family val="2"/>
        <scheme val="minor"/>
      </rPr>
      <t>" deve ser utilizada quando a ação  descrita não faz parte do rol das "</t>
    </r>
    <r>
      <rPr>
        <b/>
        <sz val="22"/>
        <color theme="1"/>
        <rFont val="Calibri"/>
        <family val="2"/>
        <scheme val="minor"/>
      </rPr>
      <t>Ações Estratégicas Prioritárias</t>
    </r>
    <r>
      <rPr>
        <sz val="22"/>
        <color theme="1"/>
        <rFont val="Calibri"/>
        <family val="2"/>
        <scheme val="minor"/>
      </rPr>
      <t xml:space="preserve">". </t>
    </r>
  </si>
  <si>
    <t>Autoatendimento</t>
  </si>
  <si>
    <t>Realização de ações direcionadoras e facilitadoras do autoatendimento (tutoriais, manuais)</t>
  </si>
  <si>
    <t>Ações de comunicação realizadas a partir de inserções em mídias impressas (anúncios, editoriais, etc.) e redes sociais (facebook, Instagram, etc.)., tratando de temas relevantes para a realidade de cada UF.</t>
  </si>
  <si>
    <t>Aplicação de recursos para viabilizar a realização de Seminários, Mostras de Arquitetura, Cursos, Oficinas, etc., a serem firmados tanto com Entidades de Arquitetos quanto com Entidades Mistas.</t>
  </si>
  <si>
    <t xml:space="preserve">5) O valor do "Executado 2021": retirar do SISCONT. NET, no caminho "Centro de Custos&gt; Relatórios&gt; Demonstrativo de empenhos/pagamentos"; período de  01/01/2021 até 31/05/2021; na coluna "LIQUIDAÇÕES". </t>
  </si>
  <si>
    <t>7) Vedada a inobservância de aplicação do percentual mínimo de 15% (quinze por cento) da Receita de Arrecadação Líquida (RAL) nas atividades de Fiscalização e do percentual máximo de 55% da Receita Corrente com as Despesas com Pessoal. (Anexo 2)</t>
  </si>
  <si>
    <t>8) Os órgãos deliberativos dos CAU/UF poderão, mediante as justificativas próprias, flexibilizar a aplicação de recursos mínimos e máximos na Reprogramação do Plano de Ação e Orçamento de 2021. (Anexo 2)</t>
  </si>
  <si>
    <t>9) Preencher o anexo 4  apenas para os projetos/atividades novos e/ou que tiveram alterações/ajustes .</t>
  </si>
  <si>
    <t>6) O valor das "Receitas realizadas 2021": retirar do SISCONT. NET, no caminho:  "Contabilidade&gt; Relatórios-&gt;Consolidado&gt;comparativo da receita"; período de 01/01/2021 até 31/05/2021; na coluna "Arrec.Período"</t>
  </si>
  <si>
    <t>1) O valor da Programação 2021 deve ser igual ao valor APROVADO no Plano de Ação 2021 , ou seja, sem transposição. O CAU/PB e o CAU/PR deverão usar os dados da reprogramação extraordinária 2021.</t>
  </si>
  <si>
    <t>Obs.: Os Indicadores devem ser vinculados aos objetivos estratégicos priorizados no Mapa Estratégico do CAU/UF, ou seja, os indicadores dos objetivos estratégicos escolhidos no Mapa Estratégico devem ser mensurados. (ALERTA: Os indicadores foram validados no Seminário de Planejamento realizado em Fev/2020).</t>
  </si>
  <si>
    <t>P</t>
  </si>
  <si>
    <t>A</t>
  </si>
  <si>
    <t>PE</t>
  </si>
  <si>
    <t>AT</t>
  </si>
  <si>
    <t>N</t>
  </si>
  <si>
    <t>R</t>
  </si>
  <si>
    <t>E</t>
  </si>
  <si>
    <t>C</t>
  </si>
  <si>
    <t>Projetos Específicos- DPOBR Nº 0097-08.A/2019 (Substituída pela Resolução  n. 200/2020)</t>
  </si>
  <si>
    <t>Projetos Específicos- DPOBR Nº 0084-03/2018 (Substituída pela Resolução  n. 200/2020)</t>
  </si>
  <si>
    <t>Presidência</t>
  </si>
  <si>
    <t>Direção Geral</t>
  </si>
  <si>
    <t>Gerência Técnica</t>
  </si>
  <si>
    <t>Gerência de Operações</t>
  </si>
  <si>
    <t>Gerência Adm. Financeira</t>
  </si>
  <si>
    <t>Assessoria Jurídica</t>
  </si>
  <si>
    <t>Comissão de Ética</t>
  </si>
  <si>
    <t>Comissão de Atos Administrativos</t>
  </si>
  <si>
    <t>Comissão de Exercício Profissional e Fiscalização</t>
  </si>
  <si>
    <t>Comissão de Planejamento e Finanças</t>
  </si>
  <si>
    <t>Comissão de Ensino</t>
  </si>
  <si>
    <t>Comissão Especial de Política Profissional</t>
  </si>
  <si>
    <t>Comissão Especial Política Urbana</t>
  </si>
  <si>
    <t>Plenária</t>
  </si>
  <si>
    <t>Gerência de Atendimento</t>
  </si>
  <si>
    <t>Gerência de Fiscalização</t>
  </si>
  <si>
    <t>Articulação Institucional e fomento de parcerias estratégicas.</t>
  </si>
  <si>
    <t>Manutenção Institucional</t>
  </si>
  <si>
    <t>Orientação, esclarecimento e atendimento de demandas de profissionais e empresas</t>
  </si>
  <si>
    <t>Operacionalização dos processos éticos e de multa/fiscalização</t>
  </si>
  <si>
    <t>Manutenção Administrativa financeira</t>
  </si>
  <si>
    <t>Consultoria e Assessoria Jurídica</t>
  </si>
  <si>
    <t>Operacionalização e processamento dos  processos éticos</t>
  </si>
  <si>
    <t>Assessoramento organizacional-institucional</t>
  </si>
  <si>
    <t>Operacionalização da Fiscalização e fomento da valorização profissional</t>
  </si>
  <si>
    <t>Operacionalização, Planejamento e Controle do CAU</t>
  </si>
  <si>
    <t>Fomento ao aperfeiçoamento e à formação profissional</t>
  </si>
  <si>
    <t>Fomento a ações que buscam promover melhorias da prática profissional</t>
  </si>
  <si>
    <t>Fomento a ações que buscam promover melhorias da política urbana estadual</t>
  </si>
  <si>
    <t>Operacionalização das reuniões institucionais regimentais</t>
  </si>
  <si>
    <t>Dia do Arquiteto</t>
  </si>
  <si>
    <t>APC - Aperfeiçoamento Profissional Continuado</t>
  </si>
  <si>
    <t>Patrocínio</t>
  </si>
  <si>
    <t>Aporte ao Fundo de Apoio</t>
  </si>
  <si>
    <t>Comunicação Institucional</t>
  </si>
  <si>
    <t>Programa de Capacitação dos Colaboradores</t>
  </si>
  <si>
    <t>Programa de Assistência Técnica</t>
  </si>
  <si>
    <t>Atendimento da Sociedade e arquitetos e urbanistas</t>
  </si>
  <si>
    <t>Reforma sede CAU/BA</t>
  </si>
  <si>
    <t>Aquisição de Equipamentos</t>
  </si>
  <si>
    <t>CSC -Fiscalização</t>
  </si>
  <si>
    <t>CSC- Atendimento</t>
  </si>
  <si>
    <t>Plano de Fiscalização</t>
  </si>
  <si>
    <t>Reserva de Contingência</t>
  </si>
  <si>
    <t>Aquisição sede CAU/BA</t>
  </si>
  <si>
    <t>Consultoria Jurídica para enfrentar matéria tributária que alcança o exercício profissional referentes ao ISSQN</t>
  </si>
  <si>
    <t>Prover recursos humanos e materiais para articular parcerias e estimular práticas voltadas a valorização e fiscalização profissional</t>
  </si>
  <si>
    <t>Prover  a estruturação, seja por meio de recursos humanos, equipamentos,  materiais e tecnologia  para execução das atividades das diversas unidades e comissões regimentais e não regimentais do CAU/BA</t>
  </si>
  <si>
    <t xml:space="preserve">Orientar, disciplinar e promover o exercício qualificado da Arquitetura e Urbanismo </t>
  </si>
  <si>
    <t>Prover recursos humanos e materiais para operacionalizar, planejar e identificar o segmento técnico fiscalizável  e no âmbito do Estado da Bahia, além de prover a estruturação dos processos éticos.</t>
  </si>
  <si>
    <t>Prover recursos humanos e materiais, operacionalizar e planejar a continuidade das ações administrativas e financeiras do CAU/BA, zelando pelo equilíbrio das contas e da contratação mais vantajosa para o Conselho.</t>
  </si>
  <si>
    <t>Prover recursos humanos e materiais para estruturar, organizar e manter em funcionamento a Assessoria Jurídica do CAU-BA.</t>
  </si>
  <si>
    <t>Prover recursos humanos e materiais visando o processamento das demandas ético-disciplinares</t>
  </si>
  <si>
    <t>Prover recursos humanos e materiais visando a estruturação e organização dos normativos do CAU/BA.</t>
  </si>
  <si>
    <t>Prover recursos humanos e materiais visando a estruturação e organização das ações de valorização profissional e de fiscalização.</t>
  </si>
  <si>
    <t>Prover recursos humanos e materiais visando a estruturação e organização do planejamento e de controle do CAU/BA</t>
  </si>
  <si>
    <t>Prover recursos humanos e materiais visando a estruturação e organização da educação continuada e de formação profissional no âmbito do CAU/BA.</t>
  </si>
  <si>
    <t>Prover recursos técnicos visando a estruturação ao empreendedorismo dos arquitetos e urbanistas</t>
  </si>
  <si>
    <t>Prover recursos técnicos visando opinar sobre matérias com impacto urbanista</t>
  </si>
  <si>
    <t>Intercambiar informações e atualizar as diretrizes de atuação no âmbito Estadual</t>
  </si>
  <si>
    <t>Promover evento que fomente a dignificação da Arquitetura por meio do intercâmbio de informações técnico-temático</t>
  </si>
  <si>
    <t>Construir parcerias e identificar temáticas que contribuam para a maturação do conteúdo de formação profissional</t>
  </si>
  <si>
    <t>Intensificar parcerias voltadas ao desenvolvimento da Arquitetura e Urbanismo</t>
  </si>
  <si>
    <t>Contribuir para estruturação e distribuição de recursos vinculadas a constituição de Fundo de Apoio.</t>
  </si>
  <si>
    <t>Prover recursos humanos e materiais para promover e disseminar a  missão, visão,  consolidando a marca CAU/BA</t>
  </si>
  <si>
    <t>Direcionar o profissional a um processo de educação, reciclagem e alteração de comportamento</t>
  </si>
  <si>
    <t>Disseminar e sensibilizar a assistência técnica pública e gratuita para o projeto e a construção de habitação de interesse social, como parte integrante do direito social à moradia previsto.</t>
  </si>
  <si>
    <t>Aperfeiçoar o atendimento aos públicos interno e externo e  aprimorar o relacionamento com a sociedade</t>
  </si>
  <si>
    <t>Reestruturação dos espaços e atividades</t>
  </si>
  <si>
    <t>Modernizar parque computacional do CAU/BA</t>
  </si>
  <si>
    <t>Dotar a Gerência de Fiscalização de sistemas que facilitem a gestão e a tomada de decisão no Plano de Fiscalização do CAU/BA</t>
  </si>
  <si>
    <t>Dotar a Gerência de Atendimento de sistemas que facilitem e agilizem o atendimento aos profissionais</t>
  </si>
  <si>
    <t>Implementar o Plano de Fiscalização Profissional no âmbito do Estado da Bahia</t>
  </si>
  <si>
    <t>Suportar eventuais ações estratégicas não contempladas no PA</t>
  </si>
  <si>
    <t>Melhoria das instalações e das distribuições das unidades internas e atividades funcionais</t>
  </si>
  <si>
    <t>Garantir que o profissional não seja onerado, sob a ótica tributária, diante as legislações de ISSQN dos municípios da Bahia</t>
  </si>
  <si>
    <t>Fortalecimento e sedimentação da missão e visão do sistema CAU em face da sociedade, profissionais, instituições públicas e privadas.</t>
  </si>
  <si>
    <t>Manter a continuidade dos serviços e atividades do CAU/BA; Assegurar o bom funcionamento, manter a organização e promover a estruturação necessária para garantia da eficácia dos serviços, desde o atendimento, fomento à valorização profissional e fiscalização.</t>
  </si>
  <si>
    <t xml:space="preserve">Melhorar quantitativamente e qualitativamente o atendimento prestado aos profissionais e empresas </t>
  </si>
  <si>
    <t>Contribuir para a maximização das ações de fiscalização com utilização de mecanismos inovadores para sua efetivação; Contribuir para a maximização das ações disciplinares éticas.</t>
  </si>
  <si>
    <t>Melhoria no gerenciamento do fluxo de pagamentos e contratações, com vistas a estruturar rotinas eficazes de gestão.</t>
  </si>
  <si>
    <t>Elevar o conhecimento dos colaboradores em normativos aplicáveis a autarquia CAU/BA, compartilhando informações e procedimentos</t>
  </si>
  <si>
    <t>Contribuir para a otimização e agilização dos processos administrativos ético-disciplinares no âmbito do CAU/BA</t>
  </si>
  <si>
    <t>Contribuir para a otimização e agilização dos procedimentos operacionais e administrativos no âmbito do CAU/BA.</t>
  </si>
  <si>
    <t>Contribuir para a efetivação da fiscalização, mediante análise comparativa de dados, cumprimento de diligências, participação da sociedade, com vistas a assegurar a melhoria do exercício profissional do Arquiteto e Urbanista.</t>
  </si>
  <si>
    <t>Contribuir para a otimização e agilização dos procedimentos de planejamento e de controle no âmbito do CAU/BA</t>
  </si>
  <si>
    <t>Contribuir para a otimização e agilização dos procedimentos internos no âmbito do CAU/BA vinculados ao ensino e formação.</t>
  </si>
  <si>
    <t>Contribuir para a disseminação da cultura empreendedora e organização da atividade profissional sob a perspectiva dos negócios</t>
  </si>
  <si>
    <t>Contribuir para a inserção da arquitetura nos planos gerais e parciais de urbanização ou reurbanização das cidades do estado da Bahia</t>
  </si>
  <si>
    <t>Prover recursos humanos e materiais visando a estruturação e organização das ações do Plenário do âmbito do CAU/BA</t>
  </si>
  <si>
    <t>Intensificar e aproximar O CAU/BA com seu público-alvo e a sociedade em geral, além de aprimorar a atuação profissional, por meio do fomento ao aperfeiçoamento profissional.</t>
  </si>
  <si>
    <t>Dotar o CAU/BA de rotina continuada de fomento e de valorização profissional</t>
  </si>
  <si>
    <t>Estruturar e solidificar parcerias estratégicas</t>
  </si>
  <si>
    <t>Participação na estruturação de organização sistêmica nacional</t>
  </si>
  <si>
    <t>Solidificar a imagem, a marca e a missão do CAU/BA enquanto instituição que busca promover a Arquitetura para todos, em defesa da sociedade</t>
  </si>
  <si>
    <t>Dotar o CAU/BA de rotina continuada de fomento e de valorização dos colaboradores</t>
  </si>
  <si>
    <t>Valorização e disseminação da cultura da Assistência Técnica</t>
  </si>
  <si>
    <t>Aperfeiçoar a qualidade do atendimento prestado aos públicos interno e externo.</t>
  </si>
  <si>
    <t>O redimensionamento dos espaços contribuirá para melhoria das atividades de fiscalização, de registro, cadastro, atendimento e funcionamento do CAU/BA</t>
  </si>
  <si>
    <t>Otimização e agilização dos procedimentos internos e redução no tempo de atendimento ao profissional Arquiteto e Urbanista</t>
  </si>
  <si>
    <t>Otimização e agilização dos procedimentos internos de fiscalização</t>
  </si>
  <si>
    <t xml:space="preserve">Melhoria na qualidade e na redução do tempo de atendimento </t>
  </si>
  <si>
    <t>Manter a continuidade Operacional do Plano de Fiscalização, visando maximização de suas ações.</t>
  </si>
  <si>
    <t>Possibilitar a aplicação de recursos em ações não contempladas no PA</t>
  </si>
  <si>
    <t>Assegurar a tributação no estabelecimento do prestador de serviço</t>
  </si>
  <si>
    <t>MAPA ESTRATÉGICO CAU/BA</t>
  </si>
  <si>
    <t>CAU/BA</t>
  </si>
  <si>
    <t>Concurso</t>
  </si>
  <si>
    <t>Estruturar e organizar a realização do Concurso Público</t>
  </si>
  <si>
    <t>Dar conformidade e garantia ao processo de contratação de pessoal</t>
  </si>
  <si>
    <t>Nova</t>
  </si>
  <si>
    <t>(Outras Receitas + Encontro de Contas)</t>
  </si>
  <si>
    <t>Diferença</t>
  </si>
  <si>
    <t>Execução (liquidado)-SISCONT</t>
  </si>
  <si>
    <t>Projetado</t>
  </si>
  <si>
    <t>Reprogramação</t>
  </si>
  <si>
    <t>Atividade</t>
  </si>
  <si>
    <t>Projeto</t>
  </si>
  <si>
    <t>csc</t>
  </si>
  <si>
    <t>fundo</t>
  </si>
  <si>
    <t>reserva</t>
  </si>
  <si>
    <t>diferença</t>
  </si>
  <si>
    <t>O valor referentes a tarifas bancárias e Encontro de contas,  valor de  taxas bancárias (R$ 12.225,37+ R$ 2.016,20) estão inseridos em "Outras Receitas Correntes"</t>
  </si>
  <si>
    <t xml:space="preserve">   VALORES BENEFÍCIOS SOBRE A FOLHA DE PAGAMENTO: VALE TRANSPORTE: R$ 33.768,00 / PROGRAMA ALMENTAÇÃO DO TRABALHADOR: R$71280,00 / PLANO DE SAÚDE: R$ 45.360,00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</si>
</sst>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_-* #,##0_-;\-* #,##0_-;_-* &quot;-&quot;??_-;_-@_-"/>
    <numFmt numFmtId="168" formatCode="_(* #,##0_);_(* \(#,##0\);_(* &quot;-&quot;??_);_(@_)"/>
    <numFmt numFmtId="169" formatCode="_(* #,##0.0_);_(* \(#,##0.0\);_(* &quot;-&quot;??_);_(@_)"/>
    <numFmt numFmtId="170" formatCode="_-* #,##0.0_-;\-* #,##0.0_-;_-* &quot;-&quot;_-;_-@_-"/>
    <numFmt numFmtId="171" formatCode="_-* #,##0.00_-;\-* #,##0.00_-;_-* &quot;-&quot;_-;_-@_-"/>
    <numFmt numFmtId="172" formatCode="_-* #,##0.0000000000000000000000000_-;\-* #,##0.0000000000000000000000000_-;_-* &quot;-&quot;_-;_-@_-"/>
    <numFmt numFmtId="173" formatCode="_-* #,##0.000000000000000000000000000000_-;\-* #,##0.000000000000000000000000000000_-;_-* &quot;-&quot;_-;_-@_-"/>
    <numFmt numFmtId="174" formatCode="_-* #,##0.000000000000000000000000000000_-;\-* #,##0.000000000000000000000000000000_-;_-* &quot;-&quot;??????????????????????????????_-;_-@_-"/>
  </numFmts>
  <fonts count="93" x14ac:knownFonts="1">
    <font>
      <sz val="11"/>
      <color theme="1"/>
      <name val="Calibri"/>
      <family val="2"/>
      <scheme val="minor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Arial Narrow"/>
      <family val="2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b/>
      <sz val="11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20"/>
      <color theme="1" tint="0.499984740745262"/>
      <name val="Calibri"/>
      <family val="2"/>
      <scheme val="minor"/>
    </font>
    <font>
      <sz val="10"/>
      <color rgb="FF000000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indexed="21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57"/>
      <name val="Calibri"/>
      <family val="2"/>
    </font>
    <font>
      <b/>
      <sz val="14"/>
      <color rgb="FF008080"/>
      <name val="Calibri"/>
      <family val="2"/>
      <scheme val="minor"/>
    </font>
    <font>
      <b/>
      <sz val="14"/>
      <color rgb="FF008080"/>
      <name val="Calibri"/>
      <family val="2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rgb="FFFF000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4"/>
      <color rgb="FF009999"/>
      <name val="Calibri"/>
      <family val="2"/>
    </font>
    <font>
      <b/>
      <sz val="10"/>
      <color theme="1"/>
      <name val="Calibri"/>
      <family val="2"/>
      <scheme val="minor"/>
    </font>
    <font>
      <b/>
      <sz val="18"/>
      <name val="Calibri"/>
      <family val="2"/>
    </font>
    <font>
      <b/>
      <sz val="14"/>
      <color indexed="81"/>
      <name val="Tahoma"/>
      <family val="2"/>
    </font>
    <font>
      <sz val="11"/>
      <color rgb="FF000000"/>
      <name val="Calibri"/>
      <family val="2"/>
    </font>
    <font>
      <b/>
      <sz val="18"/>
      <color theme="0"/>
      <name val="Calibri"/>
      <family val="2"/>
      <scheme val="minor"/>
    </font>
    <font>
      <b/>
      <sz val="14"/>
      <color indexed="81"/>
      <name val="Calibri Light"/>
      <family val="2"/>
      <scheme val="major"/>
    </font>
    <font>
      <sz val="15"/>
      <color theme="1" tint="0.499984740745262"/>
      <name val="Calibri"/>
      <family val="2"/>
      <scheme val="minor"/>
    </font>
    <font>
      <sz val="50"/>
      <color theme="1"/>
      <name val="Calibri"/>
      <family val="2"/>
      <scheme val="minor"/>
    </font>
    <font>
      <b/>
      <sz val="14"/>
      <color indexed="81"/>
      <name val="Segoe UI"/>
      <family val="2"/>
    </font>
    <font>
      <b/>
      <sz val="20"/>
      <color indexed="81"/>
      <name val="Segoe UI"/>
      <family val="2"/>
    </font>
    <font>
      <b/>
      <sz val="16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5"/>
      <color indexed="81"/>
      <name val="Segoe UI"/>
      <family val="2"/>
    </font>
    <font>
      <b/>
      <sz val="22"/>
      <color theme="1"/>
      <name val="Calibri"/>
      <family val="2"/>
      <scheme val="minor"/>
    </font>
    <font>
      <sz val="18"/>
      <color indexed="81"/>
      <name val="Tahoma"/>
      <family val="2"/>
    </font>
    <font>
      <b/>
      <sz val="13"/>
      <color indexed="8"/>
      <name val="Tahoma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2F5597"/>
      <name val="Calibri"/>
      <family val="2"/>
      <scheme val="minor"/>
    </font>
    <font>
      <b/>
      <sz val="15"/>
      <color indexed="81"/>
      <name val="Tahoma"/>
      <family val="2"/>
    </font>
    <font>
      <b/>
      <sz val="12"/>
      <color theme="1"/>
      <name val="Calibri"/>
      <family val="2"/>
    </font>
    <font>
      <b/>
      <sz val="20"/>
      <color rgb="FFFFFFFF"/>
      <name val="Calibri"/>
      <family val="2"/>
    </font>
    <font>
      <b/>
      <sz val="14"/>
      <color rgb="FFFFFFFF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20"/>
      <color rgb="FF006100"/>
      <name val="Calibri"/>
      <family val="2"/>
      <scheme val="minor"/>
    </font>
    <font>
      <b/>
      <sz val="20"/>
      <color theme="0"/>
      <name val="Arial Narrow"/>
      <family val="2"/>
    </font>
    <font>
      <sz val="20"/>
      <color rgb="FF000000"/>
      <name val="Calibri"/>
      <family val="2"/>
      <scheme val="minor"/>
    </font>
    <font>
      <b/>
      <sz val="20"/>
      <name val="Arial Narrow"/>
      <family val="2"/>
    </font>
    <font>
      <sz val="20"/>
      <color theme="1"/>
      <name val="Arial Narrow"/>
      <family val="2"/>
    </font>
    <font>
      <sz val="20"/>
      <color theme="0"/>
      <name val="Calibri"/>
      <family val="2"/>
      <scheme val="minor"/>
    </font>
    <font>
      <b/>
      <sz val="20"/>
      <color theme="1"/>
      <name val="Arial Narrow"/>
      <family val="2"/>
    </font>
    <font>
      <b/>
      <sz val="22"/>
      <color theme="0"/>
      <name val="Calibri"/>
      <family val="2"/>
    </font>
    <font>
      <b/>
      <sz val="22"/>
      <name val="Calibri"/>
      <family val="2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FFFADE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FF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A5664"/>
        <bgColor indexed="64"/>
      </patternFill>
    </fill>
    <fill>
      <patternFill patternType="solid">
        <fgColor rgb="FFE4F0F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5E9AA6"/>
        <bgColor indexed="64"/>
      </patternFill>
    </fill>
    <fill>
      <patternFill patternType="lightGray">
        <bgColor rgb="FF5E9AA6"/>
      </patternFill>
    </fill>
    <fill>
      <patternFill patternType="solid">
        <fgColor rgb="FF2A5664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rgb="FF000000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5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/>
    <xf numFmtId="0" fontId="2" fillId="0" borderId="0"/>
    <xf numFmtId="0" fontId="65" fillId="0" borderId="0" applyNumberFormat="0" applyFill="0" applyBorder="0" applyAlignment="0" applyProtection="0"/>
  </cellStyleXfs>
  <cellXfs count="6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2" borderId="0" xfId="0" applyFont="1" applyFill="1" applyBorder="1" applyAlignment="1">
      <alignment wrapText="1"/>
    </xf>
    <xf numFmtId="0" fontId="0" fillId="0" borderId="0" xfId="0" applyBorder="1"/>
    <xf numFmtId="0" fontId="3" fillId="5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 applyBorder="1" applyAlignment="1">
      <alignment horizontal="center" vertical="center" wrapText="1" readingOrder="1"/>
    </xf>
    <xf numFmtId="0" fontId="5" fillId="2" borderId="0" xfId="0" applyFont="1" applyFill="1" applyBorder="1"/>
    <xf numFmtId="0" fontId="4" fillId="2" borderId="0" xfId="0" applyFont="1" applyFill="1" applyBorder="1" applyAlignment="1">
      <alignment vertical="center" wrapText="1" readingOrder="1"/>
    </xf>
    <xf numFmtId="0" fontId="5" fillId="2" borderId="0" xfId="0" applyFont="1" applyFill="1" applyAlignment="1">
      <alignment wrapText="1"/>
    </xf>
    <xf numFmtId="0" fontId="3" fillId="2" borderId="0" xfId="0" applyFont="1" applyFill="1"/>
    <xf numFmtId="0" fontId="12" fillId="0" borderId="0" xfId="0" applyFont="1" applyFill="1" applyBorder="1" applyAlignment="1"/>
    <xf numFmtId="0" fontId="3" fillId="0" borderId="0" xfId="0" applyFont="1" applyBorder="1" applyAlignment="1"/>
    <xf numFmtId="0" fontId="17" fillId="2" borderId="0" xfId="0" applyFont="1" applyFill="1" applyBorder="1" applyAlignment="1">
      <alignment horizontal="left" wrapText="1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vertical="center" wrapText="1"/>
      <protection locked="0"/>
    </xf>
    <xf numFmtId="41" fontId="4" fillId="3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 wrapText="1"/>
    </xf>
    <xf numFmtId="41" fontId="5" fillId="2" borderId="1" xfId="0" applyNumberFormat="1" applyFont="1" applyFill="1" applyBorder="1" applyAlignment="1" applyProtection="1">
      <alignment vertical="center" wrapText="1"/>
      <protection locked="0"/>
    </xf>
    <xf numFmtId="41" fontId="5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vertical="center" wrapText="1"/>
    </xf>
    <xf numFmtId="41" fontId="4" fillId="2" borderId="1" xfId="0" applyNumberFormat="1" applyFont="1" applyFill="1" applyBorder="1" applyAlignment="1" applyProtection="1">
      <alignment vertical="center"/>
      <protection locked="0"/>
    </xf>
    <xf numFmtId="41" fontId="4" fillId="2" borderId="1" xfId="0" applyNumberFormat="1" applyFont="1" applyFill="1" applyBorder="1" applyAlignment="1" applyProtection="1">
      <alignment vertical="center" wrapText="1"/>
      <protection locked="0"/>
    </xf>
    <xf numFmtId="41" fontId="4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8" fontId="21" fillId="2" borderId="1" xfId="4" applyNumberFormat="1" applyFont="1" applyFill="1" applyBorder="1" applyAlignment="1" applyProtection="1">
      <alignment vertical="center" wrapText="1"/>
      <protection locked="0"/>
    </xf>
    <xf numFmtId="168" fontId="13" fillId="8" borderId="11" xfId="4" applyNumberFormat="1" applyFont="1" applyFill="1" applyBorder="1" applyAlignment="1">
      <alignment vertical="center" wrapText="1"/>
    </xf>
    <xf numFmtId="168" fontId="21" fillId="3" borderId="1" xfId="4" applyNumberFormat="1" applyFont="1" applyFill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0" fillId="0" borderId="6" xfId="0" applyBorder="1"/>
    <xf numFmtId="41" fontId="4" fillId="5" borderId="1" xfId="0" applyNumberFormat="1" applyFont="1" applyFill="1" applyBorder="1" applyAlignment="1">
      <alignment vertical="center" wrapText="1"/>
    </xf>
    <xf numFmtId="41" fontId="8" fillId="2" borderId="0" xfId="0" applyNumberFormat="1" applyFont="1" applyFill="1" applyBorder="1" applyAlignment="1">
      <alignment horizontal="center" vertical="center" wrapText="1"/>
    </xf>
    <xf numFmtId="168" fontId="8" fillId="3" borderId="1" xfId="4" applyNumberFormat="1" applyFont="1" applyFill="1" applyBorder="1" applyAlignment="1">
      <alignment horizontal="left" vertical="center" wrapText="1"/>
    </xf>
    <xf numFmtId="169" fontId="8" fillId="3" borderId="1" xfId="4" applyNumberFormat="1" applyFont="1" applyFill="1" applyBorder="1" applyAlignment="1">
      <alignment horizontal="left" vertical="center" wrapText="1"/>
    </xf>
    <xf numFmtId="166" fontId="8" fillId="2" borderId="0" xfId="3" applyNumberFormat="1" applyFont="1" applyFill="1" applyBorder="1" applyAlignment="1">
      <alignment horizontal="left" vertical="center" wrapText="1"/>
    </xf>
    <xf numFmtId="169" fontId="8" fillId="3" borderId="1" xfId="4" applyNumberFormat="1" applyFont="1" applyFill="1" applyBorder="1" applyAlignment="1">
      <alignment horizontal="right" vertical="center" wrapText="1"/>
    </xf>
    <xf numFmtId="41" fontId="8" fillId="2" borderId="1" xfId="0" applyNumberFormat="1" applyFont="1" applyFill="1" applyBorder="1" applyAlignment="1">
      <alignment horizontal="left" vertical="center" wrapText="1"/>
    </xf>
    <xf numFmtId="41" fontId="8" fillId="3" borderId="1" xfId="0" applyNumberFormat="1" applyFont="1" applyFill="1" applyBorder="1" applyAlignment="1">
      <alignment horizontal="left" vertical="center" wrapText="1"/>
    </xf>
    <xf numFmtId="167" fontId="8" fillId="2" borderId="0" xfId="4" applyNumberFormat="1" applyFont="1" applyFill="1" applyBorder="1" applyAlignment="1">
      <alignment horizontal="right" vertical="center" wrapText="1"/>
    </xf>
    <xf numFmtId="164" fontId="8" fillId="2" borderId="0" xfId="4" applyFont="1" applyFill="1" applyBorder="1" applyAlignment="1">
      <alignment horizontal="left" vertical="center" wrapText="1"/>
    </xf>
    <xf numFmtId="167" fontId="8" fillId="2" borderId="0" xfId="4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41" fontId="8" fillId="2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textRotation="90"/>
    </xf>
    <xf numFmtId="0" fontId="8" fillId="2" borderId="0" xfId="0" applyFont="1" applyFill="1" applyBorder="1" applyAlignment="1">
      <alignment horizontal="left" vertical="center" wrapText="1"/>
    </xf>
    <xf numFmtId="41" fontId="8" fillId="2" borderId="1" xfId="0" applyNumberFormat="1" applyFont="1" applyFill="1" applyBorder="1" applyAlignment="1">
      <alignment horizontal="center" vertical="center" wrapText="1"/>
    </xf>
    <xf numFmtId="41" fontId="8" fillId="3" borderId="1" xfId="0" applyNumberFormat="1" applyFont="1" applyFill="1" applyBorder="1" applyAlignment="1">
      <alignment horizontal="right" vertical="center" wrapText="1"/>
    </xf>
    <xf numFmtId="166" fontId="8" fillId="3" borderId="1" xfId="4" applyNumberFormat="1" applyFont="1" applyFill="1" applyBorder="1" applyAlignment="1">
      <alignment horizontal="right" vertical="center" wrapText="1"/>
    </xf>
    <xf numFmtId="166" fontId="8" fillId="3" borderId="1" xfId="3" applyNumberFormat="1" applyFont="1" applyFill="1" applyBorder="1" applyAlignment="1">
      <alignment horizontal="right" vertical="center" wrapText="1"/>
    </xf>
    <xf numFmtId="168" fontId="8" fillId="3" borderId="1" xfId="4" applyNumberFormat="1" applyFont="1" applyFill="1" applyBorder="1" applyAlignment="1" applyProtection="1">
      <alignment horizontal="left" vertical="center" wrapText="1"/>
    </xf>
    <xf numFmtId="169" fontId="8" fillId="3" borderId="1" xfId="4" applyNumberFormat="1" applyFont="1" applyFill="1" applyBorder="1" applyAlignment="1" applyProtection="1">
      <alignment horizontal="left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44" fillId="0" borderId="0" xfId="0" applyFont="1"/>
    <xf numFmtId="0" fontId="44" fillId="2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7" fillId="0" borderId="0" xfId="0" applyFont="1"/>
    <xf numFmtId="0" fontId="20" fillId="8" borderId="1" xfId="0" applyFont="1" applyFill="1" applyBorder="1" applyAlignment="1">
      <alignment vertical="center"/>
    </xf>
    <xf numFmtId="41" fontId="51" fillId="0" borderId="1" xfId="0" applyNumberFormat="1" applyFont="1" applyFill="1" applyBorder="1" applyAlignment="1">
      <alignment horizontal="right" vertical="center" wrapText="1"/>
    </xf>
    <xf numFmtId="41" fontId="4" fillId="3" borderId="1" xfId="0" applyNumberFormat="1" applyFont="1" applyFill="1" applyBorder="1" applyAlignment="1" applyProtection="1">
      <alignment vertical="center" wrapText="1"/>
      <protection locked="0"/>
    </xf>
    <xf numFmtId="0" fontId="44" fillId="13" borderId="1" xfId="0" applyFont="1" applyFill="1" applyBorder="1" applyAlignment="1">
      <alignment horizontal="left" vertical="center" wrapText="1"/>
    </xf>
    <xf numFmtId="0" fontId="44" fillId="11" borderId="1" xfId="0" applyFont="1" applyFill="1" applyBorder="1" applyAlignment="1">
      <alignment horizontal="left" vertical="center" wrapText="1"/>
    </xf>
    <xf numFmtId="0" fontId="0" fillId="0" borderId="0" xfId="0"/>
    <xf numFmtId="0" fontId="20" fillId="8" borderId="32" xfId="0" applyFont="1" applyFill="1" applyBorder="1" applyAlignment="1">
      <alignment vertical="center"/>
    </xf>
    <xf numFmtId="0" fontId="57" fillId="0" borderId="0" xfId="0" applyFont="1"/>
    <xf numFmtId="0" fontId="60" fillId="9" borderId="1" xfId="0" applyFont="1" applyFill="1" applyBorder="1" applyAlignment="1">
      <alignment horizontal="center" vertical="center" wrapText="1"/>
    </xf>
    <xf numFmtId="41" fontId="60" fillId="9" borderId="1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top" wrapText="1"/>
    </xf>
    <xf numFmtId="170" fontId="21" fillId="15" borderId="1" xfId="0" applyNumberFormat="1" applyFont="1" applyFill="1" applyBorder="1" applyAlignment="1" applyProtection="1">
      <alignment vertical="center" wrapText="1"/>
      <protection locked="0"/>
    </xf>
    <xf numFmtId="0" fontId="50" fillId="0" borderId="27" xfId="0" applyFont="1" applyFill="1" applyBorder="1" applyAlignment="1">
      <alignment horizontal="left" vertical="top" wrapText="1"/>
    </xf>
    <xf numFmtId="41" fontId="4" fillId="3" borderId="1" xfId="0" applyNumberFormat="1" applyFont="1" applyFill="1" applyBorder="1" applyAlignment="1" applyProtection="1">
      <alignment vertical="center"/>
      <protection locked="0"/>
    </xf>
    <xf numFmtId="0" fontId="64" fillId="0" borderId="0" xfId="0" applyFont="1"/>
    <xf numFmtId="167" fontId="11" fillId="2" borderId="0" xfId="4" applyNumberFormat="1" applyFont="1" applyFill="1" applyBorder="1" applyAlignment="1">
      <alignment vertical="center" wrapText="1"/>
    </xf>
    <xf numFmtId="0" fontId="44" fillId="2" borderId="0" xfId="0" applyFont="1" applyFill="1"/>
    <xf numFmtId="0" fontId="54" fillId="2" borderId="0" xfId="0" applyFont="1" applyFill="1" applyAlignment="1">
      <alignment horizontal="left" vertical="center"/>
    </xf>
    <xf numFmtId="0" fontId="44" fillId="2" borderId="0" xfId="0" applyFont="1" applyFill="1" applyAlignment="1">
      <alignment wrapText="1"/>
    </xf>
    <xf numFmtId="0" fontId="54" fillId="16" borderId="20" xfId="0" applyFont="1" applyFill="1" applyBorder="1" applyAlignment="1">
      <alignment horizontal="left" vertical="center" wrapText="1"/>
    </xf>
    <xf numFmtId="0" fontId="54" fillId="16" borderId="4" xfId="0" applyFont="1" applyFill="1" applyBorder="1" applyAlignment="1">
      <alignment horizontal="center" vertical="center" wrapText="1"/>
    </xf>
    <xf numFmtId="0" fontId="54" fillId="16" borderId="26" xfId="0" applyFont="1" applyFill="1" applyBorder="1" applyAlignment="1">
      <alignment horizontal="center" vertical="center" wrapText="1"/>
    </xf>
    <xf numFmtId="0" fontId="72" fillId="0" borderId="39" xfId="0" applyFont="1" applyBorder="1" applyAlignment="1">
      <alignment horizontal="center" wrapText="1"/>
    </xf>
    <xf numFmtId="0" fontId="72" fillId="0" borderId="39" xfId="0" applyFont="1" applyBorder="1" applyAlignment="1">
      <alignment horizontal="center" vertical="top" wrapText="1"/>
    </xf>
    <xf numFmtId="0" fontId="54" fillId="2" borderId="5" xfId="0" applyFont="1" applyFill="1" applyBorder="1" applyAlignment="1">
      <alignment horizontal="left" vertical="center"/>
    </xf>
    <xf numFmtId="0" fontId="54" fillId="2" borderId="0" xfId="0" applyFont="1" applyFill="1" applyBorder="1" applyAlignment="1">
      <alignment horizontal="left" vertical="center"/>
    </xf>
    <xf numFmtId="0" fontId="44" fillId="2" borderId="6" xfId="0" applyFont="1" applyFill="1" applyBorder="1" applyAlignment="1">
      <alignment wrapText="1"/>
    </xf>
    <xf numFmtId="0" fontId="54" fillId="16" borderId="49" xfId="0" applyFont="1" applyFill="1" applyBorder="1" applyAlignment="1">
      <alignment horizontal="left" vertical="center" wrapText="1"/>
    </xf>
    <xf numFmtId="0" fontId="54" fillId="16" borderId="52" xfId="0" applyFont="1" applyFill="1" applyBorder="1" applyAlignment="1">
      <alignment horizontal="center" vertical="center" wrapText="1"/>
    </xf>
    <xf numFmtId="0" fontId="72" fillId="2" borderId="50" xfId="0" applyFont="1" applyFill="1" applyBorder="1" applyAlignment="1">
      <alignment horizontal="center" wrapText="1"/>
    </xf>
    <xf numFmtId="0" fontId="72" fillId="2" borderId="17" xfId="0" applyFont="1" applyFill="1" applyBorder="1" applyAlignment="1">
      <alignment horizontal="center" vertical="top" wrapText="1"/>
    </xf>
    <xf numFmtId="0" fontId="72" fillId="2" borderId="13" xfId="0" applyFont="1" applyFill="1" applyBorder="1" applyAlignment="1">
      <alignment horizontal="center" wrapText="1"/>
    </xf>
    <xf numFmtId="0" fontId="72" fillId="2" borderId="13" xfId="0" applyFont="1" applyFill="1" applyBorder="1" applyAlignment="1">
      <alignment horizontal="center" vertical="top" wrapText="1"/>
    </xf>
    <xf numFmtId="0" fontId="74" fillId="0" borderId="0" xfId="0" applyFont="1" applyAlignment="1">
      <alignment vertical="center" wrapText="1"/>
    </xf>
    <xf numFmtId="0" fontId="44" fillId="2" borderId="12" xfId="0" applyFont="1" applyFill="1" applyBorder="1" applyAlignment="1">
      <alignment horizontal="left" vertical="center" wrapText="1"/>
    </xf>
    <xf numFmtId="0" fontId="72" fillId="2" borderId="60" xfId="0" applyFont="1" applyFill="1" applyBorder="1" applyAlignment="1">
      <alignment horizontal="center" vertical="center"/>
    </xf>
    <xf numFmtId="9" fontId="72" fillId="2" borderId="61" xfId="3" applyFont="1" applyFill="1" applyBorder="1" applyAlignment="1">
      <alignment horizontal="center" vertical="center"/>
    </xf>
    <xf numFmtId="9" fontId="72" fillId="2" borderId="62" xfId="3" applyFont="1" applyFill="1" applyBorder="1" applyAlignment="1">
      <alignment horizontal="center" vertical="center" wrapText="1"/>
    </xf>
    <xf numFmtId="0" fontId="72" fillId="2" borderId="12" xfId="0" applyFont="1" applyFill="1" applyBorder="1" applyAlignment="1">
      <alignment horizontal="left" vertical="center" wrapText="1"/>
    </xf>
    <xf numFmtId="0" fontId="72" fillId="2" borderId="1" xfId="0" applyFont="1" applyFill="1" applyBorder="1" applyAlignment="1">
      <alignment horizontal="center" vertical="center" wrapText="1"/>
    </xf>
    <xf numFmtId="168" fontId="44" fillId="0" borderId="53" xfId="4" applyNumberFormat="1" applyFont="1" applyBorder="1" applyAlignment="1">
      <alignment horizontal="center" vertical="center" wrapText="1"/>
    </xf>
    <xf numFmtId="0" fontId="72" fillId="10" borderId="13" xfId="5" applyFont="1" applyFill="1" applyBorder="1" applyAlignment="1">
      <alignment horizontal="center" wrapText="1"/>
    </xf>
    <xf numFmtId="0" fontId="72" fillId="10" borderId="13" xfId="5" applyFont="1" applyFill="1" applyBorder="1" applyAlignment="1">
      <alignment horizontal="center" vertical="top" wrapText="1"/>
    </xf>
    <xf numFmtId="0" fontId="72" fillId="2" borderId="13" xfId="5" applyFont="1" applyFill="1" applyBorder="1" applyAlignment="1">
      <alignment horizontal="center" wrapText="1"/>
    </xf>
    <xf numFmtId="0" fontId="72" fillId="2" borderId="13" xfId="5" applyFont="1" applyFill="1" applyBorder="1" applyAlignment="1">
      <alignment horizontal="center" vertical="top" wrapText="1"/>
    </xf>
    <xf numFmtId="0" fontId="72" fillId="2" borderId="77" xfId="0" applyFont="1" applyFill="1" applyBorder="1" applyAlignment="1">
      <alignment horizontal="left" vertical="center" wrapText="1"/>
    </xf>
    <xf numFmtId="0" fontId="72" fillId="2" borderId="79" xfId="0" applyFont="1" applyFill="1" applyBorder="1" applyAlignment="1">
      <alignment horizontal="center" vertical="center" wrapText="1"/>
    </xf>
    <xf numFmtId="168" fontId="72" fillId="2" borderId="39" xfId="4" applyNumberFormat="1" applyFont="1" applyFill="1" applyBorder="1" applyAlignment="1">
      <alignment horizontal="center" vertical="center" wrapText="1"/>
    </xf>
    <xf numFmtId="168" fontId="44" fillId="0" borderId="42" xfId="4" applyNumberFormat="1" applyFont="1" applyBorder="1" applyAlignment="1">
      <alignment horizontal="center" vertical="center" wrapText="1"/>
    </xf>
    <xf numFmtId="0" fontId="72" fillId="2" borderId="74" xfId="0" applyFont="1" applyFill="1" applyBorder="1" applyAlignment="1">
      <alignment horizontal="center" wrapText="1"/>
    </xf>
    <xf numFmtId="0" fontId="44" fillId="0" borderId="27" xfId="0" applyFont="1" applyBorder="1" applyAlignment="1">
      <alignment horizontal="center" vertical="top"/>
    </xf>
    <xf numFmtId="0" fontId="72" fillId="2" borderId="26" xfId="0" applyFont="1" applyFill="1" applyBorder="1" applyAlignment="1">
      <alignment horizontal="center" wrapText="1"/>
    </xf>
    <xf numFmtId="0" fontId="44" fillId="0" borderId="8" xfId="0" applyFont="1" applyBorder="1" applyAlignment="1">
      <alignment horizontal="center" vertical="top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wrapText="1"/>
    </xf>
    <xf numFmtId="0" fontId="16" fillId="16" borderId="1" xfId="0" applyFont="1" applyFill="1" applyBorder="1" applyAlignment="1">
      <alignment horizontal="center" vertical="center" wrapText="1"/>
    </xf>
    <xf numFmtId="0" fontId="20" fillId="16" borderId="1" xfId="0" applyFont="1" applyFill="1" applyBorder="1" applyAlignment="1">
      <alignment horizontal="left" vertical="center" wrapText="1"/>
    </xf>
    <xf numFmtId="0" fontId="44" fillId="17" borderId="1" xfId="0" applyFont="1" applyFill="1" applyBorder="1" applyAlignment="1">
      <alignment horizontal="left" vertical="center" wrapText="1"/>
    </xf>
    <xf numFmtId="0" fontId="20" fillId="16" borderId="1" xfId="0" applyFont="1" applyFill="1" applyBorder="1" applyAlignment="1">
      <alignment horizontal="left" vertical="center"/>
    </xf>
    <xf numFmtId="0" fontId="14" fillId="16" borderId="1" xfId="0" applyFont="1" applyFill="1" applyBorder="1" applyAlignment="1">
      <alignment horizontal="left" vertical="center" wrapText="1"/>
    </xf>
    <xf numFmtId="41" fontId="19" fillId="9" borderId="1" xfId="0" applyNumberFormat="1" applyFont="1" applyFill="1" applyBorder="1" applyAlignment="1" applyProtection="1">
      <alignment horizontal="center" vertical="center" wrapText="1"/>
    </xf>
    <xf numFmtId="41" fontId="14" fillId="16" borderId="1" xfId="0" applyNumberFormat="1" applyFont="1" applyFill="1" applyBorder="1" applyAlignment="1" applyProtection="1">
      <alignment horizontal="center" vertical="center" wrapText="1"/>
    </xf>
    <xf numFmtId="165" fontId="14" fillId="16" borderId="1" xfId="0" applyNumberFormat="1" applyFont="1" applyFill="1" applyBorder="1" applyAlignment="1" applyProtection="1">
      <alignment horizontal="center" vertical="center" wrapText="1"/>
    </xf>
    <xf numFmtId="41" fontId="5" fillId="3" borderId="1" xfId="0" applyNumberFormat="1" applyFont="1" applyFill="1" applyBorder="1" applyAlignment="1" applyProtection="1">
      <alignment vertical="center" wrapText="1"/>
      <protection locked="0"/>
    </xf>
    <xf numFmtId="41" fontId="34" fillId="20" borderId="1" xfId="0" applyNumberFormat="1" applyFont="1" applyFill="1" applyBorder="1" applyAlignment="1">
      <alignment vertical="center" wrapText="1"/>
    </xf>
    <xf numFmtId="165" fontId="34" fillId="20" borderId="1" xfId="0" applyNumberFormat="1" applyFont="1" applyFill="1" applyBorder="1" applyAlignment="1">
      <alignment vertical="center" wrapText="1"/>
    </xf>
    <xf numFmtId="164" fontId="19" fillId="20" borderId="1" xfId="0" applyNumberFormat="1" applyFont="1" applyFill="1" applyBorder="1" applyAlignment="1">
      <alignment vertical="center" wrapText="1"/>
    </xf>
    <xf numFmtId="169" fontId="19" fillId="20" borderId="1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77" fillId="21" borderId="1" xfId="0" applyFont="1" applyFill="1" applyBorder="1" applyAlignment="1">
      <alignment vertical="center"/>
    </xf>
    <xf numFmtId="164" fontId="77" fillId="21" borderId="1" xfId="0" applyNumberFormat="1" applyFont="1" applyFill="1" applyBorder="1" applyAlignment="1">
      <alignment vertical="center"/>
    </xf>
    <xf numFmtId="0" fontId="78" fillId="21" borderId="1" xfId="0" applyFont="1" applyFill="1" applyBorder="1" applyAlignment="1">
      <alignment horizontal="center" vertical="center" wrapText="1"/>
    </xf>
    <xf numFmtId="0" fontId="78" fillId="21" borderId="1" xfId="0" applyFont="1" applyFill="1" applyBorder="1" applyAlignment="1">
      <alignment vertical="center" wrapText="1"/>
    </xf>
    <xf numFmtId="168" fontId="80" fillId="3" borderId="1" xfId="4" applyNumberFormat="1" applyFont="1" applyFill="1" applyBorder="1" applyAlignment="1">
      <alignment horizontal="left" vertical="center" wrapText="1"/>
    </xf>
    <xf numFmtId="164" fontId="80" fillId="3" borderId="1" xfId="4" applyNumberFormat="1" applyFont="1" applyFill="1" applyBorder="1" applyAlignment="1">
      <alignment horizontal="right" vertical="center" wrapText="1"/>
    </xf>
    <xf numFmtId="0" fontId="76" fillId="12" borderId="24" xfId="0" applyFont="1" applyFill="1" applyBorder="1" applyAlignment="1">
      <alignment vertical="center" wrapText="1"/>
    </xf>
    <xf numFmtId="41" fontId="14" fillId="16" borderId="1" xfId="0" applyNumberFormat="1" applyFont="1" applyFill="1" applyBorder="1" applyAlignment="1">
      <alignment horizontal="center" vertical="center" wrapText="1"/>
    </xf>
    <xf numFmtId="164" fontId="14" fillId="16" borderId="1" xfId="4" applyNumberFormat="1" applyFont="1" applyFill="1" applyBorder="1" applyAlignment="1">
      <alignment horizontal="left" vertical="center" wrapText="1"/>
    </xf>
    <xf numFmtId="169" fontId="14" fillId="16" borderId="1" xfId="4" applyNumberFormat="1" applyFont="1" applyFill="1" applyBorder="1" applyAlignment="1">
      <alignment horizontal="left" vertical="center" wrapText="1"/>
    </xf>
    <xf numFmtId="164" fontId="8" fillId="2" borderId="1" xfId="4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41" fontId="8" fillId="17" borderId="1" xfId="0" applyNumberFormat="1" applyFont="1" applyFill="1" applyBorder="1" applyAlignment="1">
      <alignment horizontal="center" vertical="center" wrapText="1"/>
    </xf>
    <xf numFmtId="167" fontId="8" fillId="2" borderId="0" xfId="4" applyNumberFormat="1" applyFont="1" applyFill="1" applyBorder="1" applyAlignment="1">
      <alignment vertical="center" wrapText="1"/>
    </xf>
    <xf numFmtId="167" fontId="8" fillId="2" borderId="33" xfId="4" applyNumberFormat="1" applyFont="1" applyFill="1" applyBorder="1" applyAlignment="1">
      <alignment vertical="center" wrapText="1"/>
    </xf>
    <xf numFmtId="164" fontId="8" fillId="3" borderId="1" xfId="4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>
      <alignment horizontal="right" vertical="center" wrapText="1"/>
    </xf>
    <xf numFmtId="0" fontId="34" fillId="9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3" fillId="2" borderId="0" xfId="1" applyFont="1" applyFill="1" applyAlignment="1">
      <alignment vertical="center"/>
    </xf>
    <xf numFmtId="0" fontId="33" fillId="2" borderId="0" xfId="2" applyFont="1" applyFill="1" applyAlignment="1">
      <alignment vertical="center"/>
    </xf>
    <xf numFmtId="0" fontId="81" fillId="0" borderId="0" xfId="1" applyFont="1" applyFill="1"/>
    <xf numFmtId="0" fontId="7" fillId="0" borderId="0" xfId="0" applyFont="1" applyBorder="1"/>
    <xf numFmtId="164" fontId="83" fillId="2" borderId="0" xfId="0" applyNumberFormat="1" applyFont="1" applyFill="1" applyBorder="1" applyAlignment="1">
      <alignment horizontal="right" wrapText="1"/>
    </xf>
    <xf numFmtId="0" fontId="85" fillId="0" borderId="0" xfId="0" applyFont="1" applyAlignment="1">
      <alignment vertical="center"/>
    </xf>
    <xf numFmtId="0" fontId="81" fillId="0" borderId="0" xfId="1" applyFont="1" applyFill="1" applyAlignment="1">
      <alignment vertical="center"/>
    </xf>
    <xf numFmtId="0" fontId="82" fillId="16" borderId="1" xfId="0" applyFont="1" applyFill="1" applyBorder="1" applyAlignment="1">
      <alignment horizontal="center" vertical="center" wrapText="1"/>
    </xf>
    <xf numFmtId="0" fontId="83" fillId="3" borderId="1" xfId="0" applyFont="1" applyFill="1" applyBorder="1" applyAlignment="1">
      <alignment horizontal="left" vertical="center" wrapText="1"/>
    </xf>
    <xf numFmtId="0" fontId="8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4" fontId="83" fillId="3" borderId="1" xfId="4" applyNumberFormat="1" applyFont="1" applyFill="1" applyBorder="1" applyAlignment="1">
      <alignment horizontal="right" vertical="center" wrapText="1"/>
    </xf>
    <xf numFmtId="164" fontId="83" fillId="0" borderId="1" xfId="4" applyNumberFormat="1" applyFont="1" applyFill="1" applyBorder="1" applyAlignment="1">
      <alignment horizontal="right" vertical="center" wrapText="1"/>
    </xf>
    <xf numFmtId="164" fontId="83" fillId="4" borderId="1" xfId="4" applyNumberFormat="1" applyFont="1" applyFill="1" applyBorder="1" applyAlignment="1">
      <alignment horizontal="right" vertical="center" wrapText="1"/>
    </xf>
    <xf numFmtId="169" fontId="83" fillId="4" borderId="1" xfId="4" applyNumberFormat="1" applyFont="1" applyFill="1" applyBorder="1" applyAlignment="1">
      <alignment horizontal="right" vertical="center" wrapText="1"/>
    </xf>
    <xf numFmtId="37" fontId="7" fillId="0" borderId="0" xfId="0" applyNumberFormat="1" applyFont="1" applyAlignment="1">
      <alignment horizontal="center"/>
    </xf>
    <xf numFmtId="41" fontId="83" fillId="0" borderId="1" xfId="4" applyNumberFormat="1" applyFont="1" applyFill="1" applyBorder="1" applyAlignment="1">
      <alignment horizontal="right" vertical="center" wrapText="1"/>
    </xf>
    <xf numFmtId="164" fontId="86" fillId="16" borderId="1" xfId="4" applyNumberFormat="1" applyFont="1" applyFill="1" applyBorder="1" applyAlignment="1">
      <alignment horizontal="right" vertical="center" wrapText="1"/>
    </xf>
    <xf numFmtId="164" fontId="16" fillId="16" borderId="1" xfId="4" applyNumberFormat="1" applyFont="1" applyFill="1" applyBorder="1" applyAlignment="1">
      <alignment horizontal="right" vertical="center" wrapText="1"/>
    </xf>
    <xf numFmtId="37" fontId="7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169" fontId="16" fillId="16" borderId="1" xfId="4" applyNumberFormat="1" applyFont="1" applyFill="1" applyBorder="1" applyAlignment="1">
      <alignment horizontal="right" vertical="center" wrapText="1"/>
    </xf>
    <xf numFmtId="0" fontId="85" fillId="0" borderId="0" xfId="0" applyFont="1"/>
    <xf numFmtId="0" fontId="31" fillId="0" borderId="0" xfId="0" applyFont="1" applyBorder="1" applyAlignment="1"/>
    <xf numFmtId="0" fontId="31" fillId="0" borderId="0" xfId="0" applyFont="1" applyBorder="1" applyAlignment="1">
      <alignment horizontal="center"/>
    </xf>
    <xf numFmtId="0" fontId="87" fillId="0" borderId="0" xfId="0" applyFont="1"/>
    <xf numFmtId="0" fontId="88" fillId="16" borderId="1" xfId="0" applyFont="1" applyFill="1" applyBorder="1" applyAlignment="1">
      <alignment horizontal="center" vertical="center" wrapText="1"/>
    </xf>
    <xf numFmtId="0" fontId="61" fillId="0" borderId="0" xfId="0" applyFont="1"/>
    <xf numFmtId="0" fontId="89" fillId="9" borderId="1" xfId="0" applyFont="1" applyFill="1" applyBorder="1" applyAlignment="1">
      <alignment horizontal="center" vertical="center"/>
    </xf>
    <xf numFmtId="0" fontId="88" fillId="9" borderId="1" xfId="0" applyFont="1" applyFill="1" applyBorder="1" applyAlignment="1">
      <alignment horizontal="center" vertical="center"/>
    </xf>
    <xf numFmtId="0" fontId="61" fillId="17" borderId="1" xfId="0" applyFont="1" applyFill="1" applyBorder="1" applyAlignment="1">
      <alignment horizontal="center" vertical="center"/>
    </xf>
    <xf numFmtId="0" fontId="61" fillId="17" borderId="1" xfId="0" applyFont="1" applyFill="1" applyBorder="1" applyAlignment="1">
      <alignment horizontal="center" vertical="center" wrapText="1"/>
    </xf>
    <xf numFmtId="0" fontId="61" fillId="9" borderId="0" xfId="0" applyFont="1" applyFill="1" applyAlignment="1">
      <alignment horizontal="center" vertical="center" wrapText="1"/>
    </xf>
    <xf numFmtId="0" fontId="61" fillId="11" borderId="1" xfId="0" applyFont="1" applyFill="1" applyBorder="1" applyAlignment="1">
      <alignment horizontal="center" vertical="center"/>
    </xf>
    <xf numFmtId="0" fontId="61" fillId="11" borderId="1" xfId="0" applyFont="1" applyFill="1" applyBorder="1" applyAlignment="1">
      <alignment horizontal="center" vertical="center" wrapText="1"/>
    </xf>
    <xf numFmtId="0" fontId="61" fillId="11" borderId="1" xfId="0" quotePrefix="1" applyFont="1" applyFill="1" applyBorder="1" applyAlignment="1">
      <alignment horizontal="center" vertical="center" wrapText="1"/>
    </xf>
    <xf numFmtId="0" fontId="73" fillId="2" borderId="0" xfId="0" applyFont="1" applyFill="1" applyAlignment="1">
      <alignment vertical="center" wrapText="1"/>
    </xf>
    <xf numFmtId="164" fontId="79" fillId="3" borderId="1" xfId="0" applyNumberFormat="1" applyFont="1" applyFill="1" applyBorder="1" applyAlignment="1">
      <alignment horizontal="right" vertical="center" wrapText="1"/>
    </xf>
    <xf numFmtId="0" fontId="44" fillId="2" borderId="1" xfId="0" applyFont="1" applyFill="1" applyBorder="1" applyAlignment="1" applyProtection="1">
      <alignment vertical="center" wrapText="1"/>
      <protection locked="0"/>
    </xf>
    <xf numFmtId="0" fontId="44" fillId="2" borderId="1" xfId="0" applyFont="1" applyFill="1" applyBorder="1" applyAlignment="1" applyProtection="1">
      <alignment horizontal="center" vertical="center" wrapText="1"/>
      <protection locked="0"/>
    </xf>
    <xf numFmtId="164" fontId="44" fillId="2" borderId="1" xfId="4" applyNumberFormat="1" applyFont="1" applyFill="1" applyBorder="1" applyAlignment="1" applyProtection="1">
      <alignment vertical="center" wrapText="1"/>
      <protection locked="0"/>
    </xf>
    <xf numFmtId="164" fontId="5" fillId="2" borderId="1" xfId="0" applyNumberFormat="1" applyFont="1" applyFill="1" applyBorder="1" applyAlignment="1" applyProtection="1">
      <alignment vertical="center" wrapText="1"/>
      <protection locked="0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164" fontId="4" fillId="2" borderId="1" xfId="0" applyNumberFormat="1" applyFont="1" applyFill="1" applyBorder="1" applyAlignment="1" applyProtection="1">
      <alignment vertical="center"/>
      <protection locked="0"/>
    </xf>
    <xf numFmtId="164" fontId="4" fillId="2" borderId="1" xfId="0" applyNumberFormat="1" applyFont="1" applyFill="1" applyBorder="1" applyAlignment="1" applyProtection="1">
      <alignment vertical="center" wrapText="1"/>
      <protection locked="0"/>
    </xf>
    <xf numFmtId="41" fontId="0" fillId="2" borderId="0" xfId="0" applyNumberFormat="1" applyFill="1" applyAlignment="1">
      <alignment horizontal="center"/>
    </xf>
    <xf numFmtId="4" fontId="44" fillId="0" borderId="0" xfId="0" applyNumberFormat="1" applyFont="1" applyAlignment="1">
      <alignment wrapText="1"/>
    </xf>
    <xf numFmtId="41" fontId="0" fillId="0" borderId="0" xfId="0" applyNumberFormat="1" applyBorder="1"/>
    <xf numFmtId="164" fontId="83" fillId="0" borderId="1" xfId="7" applyNumberFormat="1" applyFont="1" applyFill="1" applyBorder="1" applyAlignment="1">
      <alignment horizontal="right" vertical="center" wrapText="1"/>
    </xf>
    <xf numFmtId="41" fontId="83" fillId="0" borderId="1" xfId="7" applyNumberFormat="1" applyFont="1" applyFill="1" applyBorder="1" applyAlignment="1">
      <alignment horizontal="right" vertical="center" wrapText="1"/>
    </xf>
    <xf numFmtId="43" fontId="7" fillId="0" borderId="0" xfId="0" applyNumberFormat="1" applyFont="1"/>
    <xf numFmtId="41" fontId="0" fillId="0" borderId="0" xfId="0" applyNumberFormat="1"/>
    <xf numFmtId="41" fontId="6" fillId="2" borderId="1" xfId="0" applyNumberFormat="1" applyFont="1" applyFill="1" applyBorder="1" applyAlignment="1" applyProtection="1">
      <alignment vertical="center"/>
      <protection locked="0"/>
    </xf>
    <xf numFmtId="41" fontId="6" fillId="2" borderId="1" xfId="0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Alignment="1"/>
    <xf numFmtId="0" fontId="0" fillId="22" borderId="0" xfId="0" applyFill="1" applyAlignment="1">
      <alignment vertical="center" wrapText="1"/>
    </xf>
    <xf numFmtId="0" fontId="0" fillId="2" borderId="0" xfId="0" applyFont="1" applyFill="1"/>
    <xf numFmtId="167" fontId="3" fillId="2" borderId="0" xfId="4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 readingOrder="1"/>
    </xf>
    <xf numFmtId="0" fontId="3" fillId="2" borderId="0" xfId="0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center" textRotation="90"/>
    </xf>
    <xf numFmtId="41" fontId="11" fillId="2" borderId="0" xfId="0" applyNumberFormat="1" applyFont="1" applyFill="1" applyBorder="1" applyAlignment="1">
      <alignment horizontal="center" vertical="center" wrapText="1"/>
    </xf>
    <xf numFmtId="166" fontId="11" fillId="2" borderId="0" xfId="3" applyNumberFormat="1" applyFont="1" applyFill="1" applyBorder="1" applyAlignment="1">
      <alignment horizontal="left" vertical="center" wrapText="1"/>
    </xf>
    <xf numFmtId="167" fontId="11" fillId="2" borderId="0" xfId="4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2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44" fillId="2" borderId="0" xfId="0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92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92" fillId="0" borderId="0" xfId="0" applyFont="1" applyAlignment="1">
      <alignment vertical="center" wrapText="1"/>
    </xf>
    <xf numFmtId="0" fontId="90" fillId="0" borderId="0" xfId="0" applyFont="1" applyAlignment="1">
      <alignment vertical="center" wrapText="1"/>
    </xf>
    <xf numFmtId="0" fontId="92" fillId="2" borderId="0" xfId="0" applyFont="1" applyFill="1" applyAlignment="1">
      <alignment wrapText="1"/>
    </xf>
    <xf numFmtId="0" fontId="90" fillId="2" borderId="0" xfId="0" applyFont="1" applyFill="1" applyAlignment="1">
      <alignment wrapText="1"/>
    </xf>
    <xf numFmtId="167" fontId="8" fillId="2" borderId="0" xfId="4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2" fillId="2" borderId="0" xfId="0" applyFont="1" applyFill="1" applyAlignment="1">
      <alignment vertical="center" wrapText="1"/>
    </xf>
    <xf numFmtId="0" fontId="76" fillId="12" borderId="0" xfId="0" applyFont="1" applyFill="1" applyBorder="1" applyAlignment="1">
      <alignment vertical="center" wrapText="1"/>
    </xf>
    <xf numFmtId="164" fontId="11" fillId="2" borderId="0" xfId="0" applyNumberFormat="1" applyFont="1" applyFill="1" applyBorder="1" applyAlignment="1">
      <alignment horizontal="right" vertical="center" wrapText="1"/>
    </xf>
    <xf numFmtId="166" fontId="11" fillId="2" borderId="0" xfId="3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wrapText="1"/>
    </xf>
    <xf numFmtId="0" fontId="8" fillId="2" borderId="0" xfId="0" applyFont="1" applyFill="1" applyBorder="1" applyAlignment="1">
      <alignment vertical="center" wrapText="1" readingOrder="1"/>
    </xf>
    <xf numFmtId="0" fontId="8" fillId="2" borderId="0" xfId="0" applyFont="1" applyFill="1" applyBorder="1" applyAlignment="1">
      <alignment horizontal="center" vertical="center" wrapText="1" readingOrder="1"/>
    </xf>
    <xf numFmtId="41" fontId="11" fillId="2" borderId="0" xfId="0" applyNumberFormat="1" applyFont="1" applyFill="1"/>
    <xf numFmtId="166" fontId="11" fillId="2" borderId="0" xfId="3" applyNumberFormat="1" applyFont="1" applyFill="1" applyAlignment="1">
      <alignment wrapText="1"/>
    </xf>
    <xf numFmtId="166" fontId="11" fillId="2" borderId="0" xfId="3" applyNumberFormat="1" applyFont="1" applyFill="1"/>
    <xf numFmtId="0" fontId="7" fillId="2" borderId="0" xfId="0" applyFont="1" applyFill="1" applyAlignment="1">
      <alignment vertical="center" wrapText="1"/>
    </xf>
    <xf numFmtId="41" fontId="3" fillId="0" borderId="0" xfId="0" applyNumberFormat="1" applyFont="1" applyBorder="1" applyAlignment="1">
      <alignment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0" fillId="2" borderId="0" xfId="0" applyNumberFormat="1" applyFill="1"/>
    <xf numFmtId="165" fontId="44" fillId="0" borderId="0" xfId="0" applyNumberFormat="1" applyFont="1"/>
    <xf numFmtId="165" fontId="44" fillId="2" borderId="0" xfId="0" applyNumberFormat="1" applyFont="1" applyFill="1"/>
    <xf numFmtId="164" fontId="44" fillId="2" borderId="0" xfId="4" applyFont="1" applyFill="1"/>
    <xf numFmtId="4" fontId="21" fillId="2" borderId="0" xfId="0" applyNumberFormat="1" applyFont="1" applyFill="1" applyAlignment="1">
      <alignment vertical="center" wrapText="1"/>
    </xf>
    <xf numFmtId="164" fontId="21" fillId="0" borderId="0" xfId="0" applyNumberFormat="1" applyFont="1" applyAlignment="1">
      <alignment vertical="center" wrapText="1"/>
    </xf>
    <xf numFmtId="43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/>
    </xf>
    <xf numFmtId="4" fontId="7" fillId="0" borderId="0" xfId="0" applyNumberFormat="1" applyFont="1" applyAlignment="1">
      <alignment wrapText="1"/>
    </xf>
    <xf numFmtId="43" fontId="0" fillId="0" borderId="0" xfId="0" applyNumberFormat="1" applyAlignment="1">
      <alignment vertical="center" wrapText="1"/>
    </xf>
    <xf numFmtId="43" fontId="11" fillId="0" borderId="0" xfId="0" applyNumberFormat="1" applyFont="1" applyAlignment="1">
      <alignment vertical="center" wrapText="1"/>
    </xf>
    <xf numFmtId="171" fontId="0" fillId="0" borderId="0" xfId="0" applyNumberFormat="1"/>
    <xf numFmtId="164" fontId="44" fillId="2" borderId="0" xfId="0" applyNumberFormat="1" applyFont="1" applyFill="1" applyAlignment="1">
      <alignment vertical="center" wrapText="1"/>
    </xf>
    <xf numFmtId="43" fontId="44" fillId="0" borderId="0" xfId="0" applyNumberFormat="1" applyFont="1" applyAlignment="1">
      <alignment wrapText="1"/>
    </xf>
    <xf numFmtId="164" fontId="44" fillId="0" borderId="0" xfId="0" applyNumberFormat="1" applyFont="1" applyAlignment="1">
      <alignment wrapText="1"/>
    </xf>
    <xf numFmtId="4" fontId="44" fillId="0" borderId="0" xfId="0" applyNumberFormat="1" applyFont="1" applyAlignment="1">
      <alignment horizontal="center" wrapText="1"/>
    </xf>
    <xf numFmtId="164" fontId="83" fillId="2" borderId="1" xfId="4" applyNumberFormat="1" applyFont="1" applyFill="1" applyBorder="1" applyAlignment="1">
      <alignment horizontal="right" vertical="center" wrapText="1"/>
    </xf>
    <xf numFmtId="37" fontId="7" fillId="0" borderId="0" xfId="0" applyNumberFormat="1" applyFont="1"/>
    <xf numFmtId="0" fontId="0" fillId="0" borderId="0" xfId="0" applyAlignment="1">
      <alignment horizontal="center"/>
    </xf>
    <xf numFmtId="43" fontId="7" fillId="0" borderId="0" xfId="0" applyNumberFormat="1" applyFont="1" applyAlignment="1">
      <alignment vertical="center" wrapText="1"/>
    </xf>
    <xf numFmtId="164" fontId="13" fillId="8" borderId="11" xfId="4" applyNumberFormat="1" applyFont="1" applyFill="1" applyBorder="1" applyAlignment="1">
      <alignment vertical="center" wrapText="1"/>
    </xf>
    <xf numFmtId="171" fontId="4" fillId="3" borderId="1" xfId="0" applyNumberFormat="1" applyFont="1" applyFill="1" applyBorder="1" applyAlignment="1">
      <alignment vertical="center" wrapText="1"/>
    </xf>
    <xf numFmtId="164" fontId="83" fillId="2" borderId="1" xfId="7" applyNumberFormat="1" applyFont="1" applyFill="1" applyBorder="1" applyAlignment="1">
      <alignment horizontal="right" vertical="center" wrapText="1"/>
    </xf>
    <xf numFmtId="39" fontId="7" fillId="0" borderId="0" xfId="0" applyNumberFormat="1" applyFont="1" applyAlignment="1">
      <alignment horizontal="center"/>
    </xf>
    <xf numFmtId="0" fontId="74" fillId="2" borderId="0" xfId="0" applyFont="1" applyFill="1" applyAlignment="1">
      <alignment horizontal="center" vertical="center" wrapText="1"/>
    </xf>
    <xf numFmtId="41" fontId="44" fillId="2" borderId="0" xfId="0" applyNumberFormat="1" applyFont="1" applyFill="1"/>
    <xf numFmtId="166" fontId="44" fillId="2" borderId="0" xfId="3" applyNumberFormat="1" applyFont="1" applyFill="1"/>
    <xf numFmtId="10" fontId="44" fillId="2" borderId="0" xfId="3" applyNumberFormat="1" applyFont="1" applyFill="1"/>
    <xf numFmtId="169" fontId="21" fillId="3" borderId="1" xfId="3" applyNumberFormat="1" applyFont="1" applyFill="1" applyBorder="1" applyAlignment="1">
      <alignment horizontal="center" vertical="center" wrapText="1"/>
    </xf>
    <xf numFmtId="169" fontId="91" fillId="8" borderId="1" xfId="3" applyNumberFormat="1" applyFont="1" applyFill="1" applyBorder="1" applyAlignment="1">
      <alignment horizontal="center" vertical="center" wrapText="1"/>
    </xf>
    <xf numFmtId="43" fontId="21" fillId="2" borderId="0" xfId="0" applyNumberFormat="1" applyFont="1" applyFill="1" applyAlignment="1">
      <alignment vertical="center" wrapText="1"/>
    </xf>
    <xf numFmtId="164" fontId="21" fillId="2" borderId="0" xfId="0" applyNumberFormat="1" applyFont="1" applyFill="1" applyAlignment="1">
      <alignment vertical="center" wrapText="1"/>
    </xf>
    <xf numFmtId="170" fontId="21" fillId="2" borderId="1" xfId="0" applyNumberFormat="1" applyFont="1" applyFill="1" applyBorder="1" applyAlignment="1" applyProtection="1">
      <alignment vertical="center" wrapText="1"/>
      <protection locked="0"/>
    </xf>
    <xf numFmtId="168" fontId="21" fillId="2" borderId="1" xfId="4" applyNumberFormat="1" applyFont="1" applyFill="1" applyBorder="1" applyAlignment="1">
      <alignment vertical="center" wrapText="1"/>
    </xf>
    <xf numFmtId="169" fontId="21" fillId="2" borderId="1" xfId="3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6" fontId="21" fillId="2" borderId="0" xfId="0" applyNumberFormat="1" applyFont="1" applyFill="1" applyAlignment="1">
      <alignment vertical="center" wrapText="1"/>
    </xf>
    <xf numFmtId="4" fontId="91" fillId="2" borderId="0" xfId="0" applyNumberFormat="1" applyFont="1" applyFill="1" applyAlignment="1">
      <alignment vertical="center" wrapText="1"/>
    </xf>
    <xf numFmtId="41" fontId="0" fillId="2" borderId="0" xfId="0" applyNumberFormat="1" applyFill="1" applyAlignment="1">
      <alignment vertical="center" wrapText="1"/>
    </xf>
    <xf numFmtId="43" fontId="0" fillId="0" borderId="0" xfId="0" applyNumberFormat="1"/>
    <xf numFmtId="172" fontId="0" fillId="0" borderId="0" xfId="0" applyNumberFormat="1"/>
    <xf numFmtId="173" fontId="0" fillId="0" borderId="0" xfId="0" applyNumberFormat="1"/>
    <xf numFmtId="174" fontId="0" fillId="0" borderId="0" xfId="0" applyNumberFormat="1"/>
    <xf numFmtId="170" fontId="35" fillId="23" borderId="1" xfId="0" applyNumberFormat="1" applyFont="1" applyFill="1" applyBorder="1" applyAlignment="1">
      <alignment vertical="center" wrapText="1"/>
    </xf>
    <xf numFmtId="169" fontId="77" fillId="21" borderId="1" xfId="0" applyNumberFormat="1" applyFont="1" applyFill="1" applyBorder="1" applyAlignment="1">
      <alignment vertical="center"/>
    </xf>
    <xf numFmtId="41" fontId="51" fillId="2" borderId="1" xfId="0" applyNumberFormat="1" applyFont="1" applyFill="1" applyBorder="1" applyAlignment="1">
      <alignment horizontal="right" vertical="center" wrapText="1"/>
    </xf>
    <xf numFmtId="3" fontId="76" fillId="12" borderId="24" xfId="0" applyNumberFormat="1" applyFont="1" applyFill="1" applyBorder="1" applyAlignment="1">
      <alignment vertical="center" wrapText="1"/>
    </xf>
    <xf numFmtId="2" fontId="0" fillId="2" borderId="0" xfId="0" applyNumberFormat="1" applyFill="1"/>
    <xf numFmtId="41" fontId="0" fillId="2" borderId="0" xfId="0" applyNumberFormat="1" applyFill="1" applyBorder="1"/>
    <xf numFmtId="171" fontId="0" fillId="2" borderId="0" xfId="0" applyNumberFormat="1" applyFill="1" applyBorder="1"/>
    <xf numFmtId="0" fontId="0" fillId="2" borderId="0" xfId="0" applyFill="1" applyBorder="1"/>
    <xf numFmtId="41" fontId="3" fillId="2" borderId="0" xfId="0" applyNumberFormat="1" applyFont="1" applyFill="1" applyBorder="1" applyAlignment="1">
      <alignment vertical="center" wrapText="1"/>
    </xf>
    <xf numFmtId="41" fontId="3" fillId="2" borderId="0" xfId="0" applyNumberFormat="1" applyFont="1" applyFill="1" applyBorder="1" applyAlignment="1">
      <alignment horizontal="center" vertical="center" wrapText="1"/>
    </xf>
    <xf numFmtId="171" fontId="5" fillId="2" borderId="1" xfId="0" applyNumberFormat="1" applyFont="1" applyFill="1" applyBorder="1" applyAlignment="1" applyProtection="1">
      <alignment vertical="center" wrapText="1"/>
      <protection locked="0"/>
    </xf>
    <xf numFmtId="37" fontId="86" fillId="2" borderId="0" xfId="0" applyNumberFormat="1" applyFont="1" applyFill="1" applyAlignment="1">
      <alignment horizontal="center" wrapText="1"/>
    </xf>
    <xf numFmtId="37" fontId="86" fillId="2" borderId="0" xfId="0" applyNumberFormat="1" applyFont="1" applyFill="1" applyAlignment="1">
      <alignment horizontal="center"/>
    </xf>
    <xf numFmtId="39" fontId="86" fillId="2" borderId="0" xfId="0" applyNumberFormat="1" applyFont="1" applyFill="1" applyAlignment="1">
      <alignment horizontal="center"/>
    </xf>
    <xf numFmtId="0" fontId="54" fillId="2" borderId="73" xfId="0" applyFont="1" applyFill="1" applyBorder="1" applyAlignment="1">
      <alignment horizontal="center" vertical="center" wrapText="1"/>
    </xf>
    <xf numFmtId="4" fontId="44" fillId="2" borderId="0" xfId="0" applyNumberFormat="1" applyFont="1" applyFill="1" applyAlignment="1">
      <alignment wrapText="1"/>
    </xf>
    <xf numFmtId="4" fontId="44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/>
    <xf numFmtId="41" fontId="8" fillId="2" borderId="1" xfId="0" applyNumberFormat="1" applyFont="1" applyFill="1" applyBorder="1" applyAlignment="1">
      <alignment horizontal="right" vertical="center" wrapText="1"/>
    </xf>
    <xf numFmtId="0" fontId="20" fillId="16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5" fillId="0" borderId="14" xfId="15" applyBorder="1" applyAlignment="1">
      <alignment horizontal="left" vertical="center" wrapText="1"/>
    </xf>
    <xf numFmtId="0" fontId="65" fillId="0" borderId="15" xfId="15" applyBorder="1" applyAlignment="1">
      <alignment horizontal="left" vertical="center" wrapText="1"/>
    </xf>
    <xf numFmtId="0" fontId="65" fillId="0" borderId="16" xfId="15" applyBorder="1" applyAlignment="1">
      <alignment horizontal="left" vertical="center" wrapText="1"/>
    </xf>
    <xf numFmtId="0" fontId="66" fillId="0" borderId="14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7" xfId="0" applyFont="1" applyBorder="1" applyAlignment="1">
      <alignment horizontal="center" vertical="center"/>
    </xf>
    <xf numFmtId="0" fontId="66" fillId="0" borderId="8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36" fillId="9" borderId="5" xfId="0" applyFont="1" applyFill="1" applyBorder="1" applyAlignment="1">
      <alignment horizontal="center"/>
    </xf>
    <xf numFmtId="0" fontId="36" fillId="9" borderId="0" xfId="0" applyFont="1" applyFill="1" applyBorder="1" applyAlignment="1">
      <alignment horizontal="center"/>
    </xf>
    <xf numFmtId="0" fontId="36" fillId="9" borderId="6" xfId="0" applyFont="1" applyFill="1" applyBorder="1" applyAlignment="1">
      <alignment horizontal="center"/>
    </xf>
    <xf numFmtId="0" fontId="36" fillId="0" borderId="21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0" fontId="36" fillId="0" borderId="23" xfId="0" applyFont="1" applyBorder="1" applyAlignment="1">
      <alignment horizontal="left" vertical="center"/>
    </xf>
    <xf numFmtId="0" fontId="65" fillId="9" borderId="21" xfId="15" applyFill="1" applyBorder="1" applyAlignment="1">
      <alignment horizontal="left" vertical="center" wrapText="1"/>
    </xf>
    <xf numFmtId="0" fontId="65" fillId="9" borderId="22" xfId="15" applyFill="1" applyBorder="1" applyAlignment="1">
      <alignment horizontal="left" vertical="center" wrapText="1"/>
    </xf>
    <xf numFmtId="0" fontId="65" fillId="9" borderId="23" xfId="15" applyFill="1" applyBorder="1" applyAlignment="1">
      <alignment horizontal="left" vertical="center" wrapText="1"/>
    </xf>
    <xf numFmtId="0" fontId="36" fillId="9" borderId="7" xfId="0" applyFont="1" applyFill="1" applyBorder="1" applyAlignment="1">
      <alignment horizontal="left" vertical="center" wrapText="1"/>
    </xf>
    <xf numFmtId="0" fontId="36" fillId="9" borderId="8" xfId="0" applyFont="1" applyFill="1" applyBorder="1" applyAlignment="1">
      <alignment horizontal="left" vertical="center" wrapText="1"/>
    </xf>
    <xf numFmtId="0" fontId="36" fillId="9" borderId="9" xfId="0" applyFont="1" applyFill="1" applyBorder="1" applyAlignment="1">
      <alignment horizontal="left" vertical="center" wrapText="1"/>
    </xf>
    <xf numFmtId="0" fontId="65" fillId="0" borderId="21" xfId="15" applyBorder="1" applyAlignment="1">
      <alignment horizontal="left" vertical="center" wrapText="1"/>
    </xf>
    <xf numFmtId="0" fontId="65" fillId="0" borderId="22" xfId="15" applyBorder="1" applyAlignment="1">
      <alignment horizontal="left" vertical="center" wrapText="1"/>
    </xf>
    <xf numFmtId="0" fontId="65" fillId="0" borderId="23" xfId="15" applyBorder="1" applyAlignment="1">
      <alignment horizontal="left" vertical="center" wrapText="1"/>
    </xf>
    <xf numFmtId="0" fontId="36" fillId="2" borderId="7" xfId="0" applyFont="1" applyFill="1" applyBorder="1" applyAlignment="1">
      <alignment horizontal="left" vertical="center" wrapText="1"/>
    </xf>
    <xf numFmtId="0" fontId="36" fillId="2" borderId="8" xfId="0" applyFont="1" applyFill="1" applyBorder="1" applyAlignment="1">
      <alignment horizontal="left" vertical="center" wrapText="1"/>
    </xf>
    <xf numFmtId="0" fontId="36" fillId="2" borderId="9" xfId="0" applyFont="1" applyFill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167" fontId="8" fillId="2" borderId="24" xfId="4" applyNumberFormat="1" applyFont="1" applyFill="1" applyBorder="1" applyAlignment="1">
      <alignment horizontal="left" vertical="center" wrapText="1"/>
    </xf>
    <xf numFmtId="167" fontId="8" fillId="2" borderId="0" xfId="4" applyNumberFormat="1" applyFont="1" applyFill="1" applyBorder="1" applyAlignment="1">
      <alignment horizontal="left" vertical="center" wrapText="1"/>
    </xf>
    <xf numFmtId="0" fontId="4" fillId="9" borderId="0" xfId="0" applyFont="1" applyFill="1" applyAlignment="1">
      <alignment horizontal="left" wrapText="1"/>
    </xf>
    <xf numFmtId="0" fontId="13" fillId="16" borderId="5" xfId="0" applyFont="1" applyFill="1" applyBorder="1" applyAlignment="1">
      <alignment horizontal="center" vertical="center"/>
    </xf>
    <xf numFmtId="0" fontId="13" fillId="16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44" fillId="2" borderId="0" xfId="0" applyFont="1" applyFill="1" applyAlignment="1">
      <alignment horizontal="center" vertical="center" wrapText="1"/>
    </xf>
    <xf numFmtId="0" fontId="73" fillId="2" borderId="0" xfId="0" applyFont="1" applyFill="1" applyAlignment="1">
      <alignment horizontal="center" vertical="center" wrapText="1"/>
    </xf>
    <xf numFmtId="0" fontId="54" fillId="16" borderId="46" xfId="0" applyFont="1" applyFill="1" applyBorder="1" applyAlignment="1">
      <alignment horizontal="left" vertical="center" wrapText="1"/>
    </xf>
    <xf numFmtId="0" fontId="54" fillId="16" borderId="47" xfId="0" applyFont="1" applyFill="1" applyBorder="1" applyAlignment="1">
      <alignment horizontal="left" vertical="center" wrapText="1"/>
    </xf>
    <xf numFmtId="0" fontId="54" fillId="16" borderId="48" xfId="0" applyFont="1" applyFill="1" applyBorder="1" applyAlignment="1">
      <alignment horizontal="left" vertical="center" wrapText="1"/>
    </xf>
    <xf numFmtId="0" fontId="54" fillId="16" borderId="50" xfId="0" applyFont="1" applyFill="1" applyBorder="1" applyAlignment="1">
      <alignment horizontal="center" vertical="center" wrapText="1"/>
    </xf>
    <xf numFmtId="0" fontId="54" fillId="16" borderId="51" xfId="0" applyFont="1" applyFill="1" applyBorder="1" applyAlignment="1">
      <alignment horizontal="center" vertical="center" wrapText="1"/>
    </xf>
    <xf numFmtId="0" fontId="72" fillId="0" borderId="38" xfId="0" applyFont="1" applyBorder="1" applyAlignment="1">
      <alignment horizontal="left" vertical="center" wrapText="1"/>
    </xf>
    <xf numFmtId="0" fontId="72" fillId="0" borderId="43" xfId="0" applyFont="1" applyBorder="1" applyAlignment="1">
      <alignment horizontal="left" vertical="center" wrapText="1"/>
    </xf>
    <xf numFmtId="0" fontId="72" fillId="0" borderId="40" xfId="0" applyFont="1" applyBorder="1" applyAlignment="1">
      <alignment horizontal="center" vertical="center" wrapText="1"/>
    </xf>
    <xf numFmtId="0" fontId="72" fillId="0" borderId="44" xfId="0" applyFont="1" applyBorder="1" applyAlignment="1">
      <alignment horizontal="center" vertical="center" wrapText="1"/>
    </xf>
    <xf numFmtId="0" fontId="72" fillId="0" borderId="41" xfId="0" applyFont="1" applyBorder="1" applyAlignment="1">
      <alignment horizontal="center" vertical="center" wrapText="1"/>
    </xf>
    <xf numFmtId="166" fontId="72" fillId="2" borderId="88" xfId="3" applyNumberFormat="1" applyFont="1" applyFill="1" applyBorder="1" applyAlignment="1">
      <alignment horizontal="center" vertical="center" wrapText="1"/>
    </xf>
    <xf numFmtId="166" fontId="72" fillId="2" borderId="89" xfId="3" applyNumberFormat="1" applyFont="1" applyFill="1" applyBorder="1" applyAlignment="1">
      <alignment horizontal="center" vertical="center" wrapText="1"/>
    </xf>
    <xf numFmtId="0" fontId="71" fillId="9" borderId="5" xfId="0" applyFont="1" applyFill="1" applyBorder="1" applyAlignment="1">
      <alignment horizontal="left" vertical="center" wrapText="1"/>
    </xf>
    <xf numFmtId="0" fontId="71" fillId="9" borderId="0" xfId="0" applyFont="1" applyFill="1" applyBorder="1" applyAlignment="1">
      <alignment horizontal="left" vertical="center" wrapText="1"/>
    </xf>
    <xf numFmtId="0" fontId="54" fillId="16" borderId="1" xfId="0" applyFont="1" applyFill="1" applyBorder="1" applyAlignment="1">
      <alignment horizontal="left" vertical="center"/>
    </xf>
    <xf numFmtId="0" fontId="54" fillId="16" borderId="34" xfId="0" applyFont="1" applyFill="1" applyBorder="1" applyAlignment="1">
      <alignment horizontal="left" vertical="center" wrapText="1"/>
    </xf>
    <xf numFmtId="0" fontId="54" fillId="16" borderId="35" xfId="0" applyFont="1" applyFill="1" applyBorder="1" applyAlignment="1">
      <alignment horizontal="left" vertical="center" wrapText="1"/>
    </xf>
    <xf numFmtId="0" fontId="54" fillId="16" borderId="36" xfId="0" applyFont="1" applyFill="1" applyBorder="1" applyAlignment="1">
      <alignment horizontal="left" vertical="center" wrapText="1"/>
    </xf>
    <xf numFmtId="0" fontId="54" fillId="16" borderId="37" xfId="0" applyFont="1" applyFill="1" applyBorder="1" applyAlignment="1">
      <alignment horizontal="left" vertical="center" wrapText="1"/>
    </xf>
    <xf numFmtId="0" fontId="54" fillId="16" borderId="26" xfId="0" applyFont="1" applyFill="1" applyBorder="1" applyAlignment="1">
      <alignment horizontal="center" vertical="center" wrapText="1"/>
    </xf>
    <xf numFmtId="0" fontId="54" fillId="16" borderId="28" xfId="0" applyFont="1" applyFill="1" applyBorder="1" applyAlignment="1">
      <alignment horizontal="center" vertical="center" wrapText="1"/>
    </xf>
    <xf numFmtId="166" fontId="44" fillId="2" borderId="42" xfId="3" applyNumberFormat="1" applyFont="1" applyFill="1" applyBorder="1" applyAlignment="1">
      <alignment horizontal="center" vertical="center" wrapText="1"/>
    </xf>
    <xf numFmtId="0" fontId="72" fillId="0" borderId="56" xfId="0" applyFont="1" applyBorder="1" applyAlignment="1">
      <alignment horizontal="center" vertical="top" wrapText="1"/>
    </xf>
    <xf numFmtId="0" fontId="72" fillId="0" borderId="44" xfId="0" applyFont="1" applyBorder="1" applyAlignment="1">
      <alignment horizontal="center" vertical="top" wrapText="1"/>
    </xf>
    <xf numFmtId="166" fontId="72" fillId="0" borderId="88" xfId="3" applyNumberFormat="1" applyFont="1" applyBorder="1" applyAlignment="1">
      <alignment horizontal="center" vertical="center" wrapText="1"/>
    </xf>
    <xf numFmtId="166" fontId="72" fillId="0" borderId="89" xfId="3" applyNumberFormat="1" applyFont="1" applyBorder="1" applyAlignment="1">
      <alignment horizontal="center" vertical="center" wrapText="1"/>
    </xf>
    <xf numFmtId="166" fontId="72" fillId="2" borderId="62" xfId="3" applyNumberFormat="1" applyFont="1" applyFill="1" applyBorder="1" applyAlignment="1">
      <alignment horizontal="center" vertical="center" wrapText="1"/>
    </xf>
    <xf numFmtId="166" fontId="72" fillId="2" borderId="90" xfId="3" applyNumberFormat="1" applyFont="1" applyFill="1" applyBorder="1" applyAlignment="1">
      <alignment horizontal="center" vertical="center" wrapText="1"/>
    </xf>
    <xf numFmtId="0" fontId="72" fillId="0" borderId="54" xfId="0" applyFont="1" applyBorder="1" applyAlignment="1">
      <alignment horizontal="center" wrapText="1"/>
    </xf>
    <xf numFmtId="0" fontId="72" fillId="0" borderId="55" xfId="0" applyFont="1" applyBorder="1" applyAlignment="1">
      <alignment horizontal="center" wrapText="1"/>
    </xf>
    <xf numFmtId="165" fontId="72" fillId="2" borderId="88" xfId="3" applyNumberFormat="1" applyFont="1" applyFill="1" applyBorder="1" applyAlignment="1">
      <alignment horizontal="center" vertical="center" wrapText="1"/>
    </xf>
    <xf numFmtId="165" fontId="72" fillId="2" borderId="89" xfId="3" applyNumberFormat="1" applyFont="1" applyFill="1" applyBorder="1" applyAlignment="1">
      <alignment horizontal="center" vertical="center" wrapText="1"/>
    </xf>
    <xf numFmtId="0" fontId="54" fillId="16" borderId="57" xfId="0" applyFont="1" applyFill="1" applyBorder="1" applyAlignment="1">
      <alignment horizontal="center" vertical="center" wrapText="1"/>
    </xf>
    <xf numFmtId="9" fontId="44" fillId="2" borderId="88" xfId="3" applyFont="1" applyFill="1" applyBorder="1" applyAlignment="1">
      <alignment horizontal="center" vertical="center" wrapText="1"/>
    </xf>
    <xf numFmtId="9" fontId="44" fillId="2" borderId="89" xfId="3" applyFont="1" applyFill="1" applyBorder="1" applyAlignment="1">
      <alignment horizontal="center" vertical="center" wrapText="1"/>
    </xf>
    <xf numFmtId="9" fontId="72" fillId="0" borderId="2" xfId="3" applyFont="1" applyBorder="1" applyAlignment="1">
      <alignment horizontal="center" vertical="center" wrapText="1"/>
    </xf>
    <xf numFmtId="9" fontId="72" fillId="0" borderId="45" xfId="3" applyFont="1" applyBorder="1" applyAlignment="1">
      <alignment horizontal="center" vertical="center" wrapText="1"/>
    </xf>
    <xf numFmtId="0" fontId="72" fillId="2" borderId="59" xfId="0" applyFont="1" applyFill="1" applyBorder="1" applyAlignment="1">
      <alignment horizontal="left" vertical="center" wrapText="1"/>
    </xf>
    <xf numFmtId="0" fontId="72" fillId="2" borderId="20" xfId="0" applyFont="1" applyFill="1" applyBorder="1" applyAlignment="1">
      <alignment horizontal="left" vertical="center" wrapText="1"/>
    </xf>
    <xf numFmtId="0" fontId="72" fillId="0" borderId="39" xfId="0" applyFont="1" applyBorder="1" applyAlignment="1">
      <alignment horizontal="center" vertical="center" wrapText="1"/>
    </xf>
    <xf numFmtId="0" fontId="72" fillId="2" borderId="2" xfId="0" applyFont="1" applyFill="1" applyBorder="1" applyAlignment="1">
      <alignment horizontal="center" vertical="center"/>
    </xf>
    <xf numFmtId="0" fontId="72" fillId="2" borderId="45" xfId="0" applyFont="1" applyFill="1" applyBorder="1" applyAlignment="1">
      <alignment horizontal="center" vertical="center"/>
    </xf>
    <xf numFmtId="9" fontId="44" fillId="2" borderId="42" xfId="3" applyFont="1" applyFill="1" applyBorder="1" applyAlignment="1">
      <alignment horizontal="center" vertical="center" wrapText="1"/>
    </xf>
    <xf numFmtId="0" fontId="72" fillId="0" borderId="58" xfId="0" applyFont="1" applyBorder="1" applyAlignment="1">
      <alignment horizontal="left" vertical="center" wrapText="1"/>
    </xf>
    <xf numFmtId="9" fontId="44" fillId="2" borderId="62" xfId="3" applyFont="1" applyFill="1" applyBorder="1" applyAlignment="1">
      <alignment horizontal="center" vertical="center" wrapText="1"/>
    </xf>
    <xf numFmtId="0" fontId="72" fillId="2" borderId="24" xfId="0" applyFont="1" applyFill="1" applyBorder="1" applyAlignment="1">
      <alignment horizontal="center" vertical="top" wrapText="1"/>
    </xf>
    <xf numFmtId="0" fontId="72" fillId="2" borderId="25" xfId="0" applyFont="1" applyFill="1" applyBorder="1" applyAlignment="1">
      <alignment horizontal="center" vertical="top" wrapText="1"/>
    </xf>
    <xf numFmtId="0" fontId="72" fillId="2" borderId="12" xfId="0" applyFont="1" applyFill="1" applyBorder="1" applyAlignment="1">
      <alignment horizontal="left" vertical="center" wrapText="1"/>
    </xf>
    <xf numFmtId="0" fontId="72" fillId="2" borderId="40" xfId="0" applyFont="1" applyFill="1" applyBorder="1" applyAlignment="1">
      <alignment horizontal="center" vertical="center" wrapText="1"/>
    </xf>
    <xf numFmtId="0" fontId="72" fillId="2" borderId="44" xfId="0" applyFont="1" applyFill="1" applyBorder="1" applyAlignment="1">
      <alignment horizontal="center" vertical="center" wrapText="1"/>
    </xf>
    <xf numFmtId="0" fontId="72" fillId="2" borderId="60" xfId="0" applyFont="1" applyFill="1" applyBorder="1" applyAlignment="1">
      <alignment horizontal="center" vertical="center"/>
    </xf>
    <xf numFmtId="0" fontId="72" fillId="2" borderId="26" xfId="0" applyFont="1" applyFill="1" applyBorder="1" applyAlignment="1">
      <alignment horizontal="center" wrapText="1"/>
    </xf>
    <xf numFmtId="0" fontId="72" fillId="2" borderId="28" xfId="0" applyFont="1" applyFill="1" applyBorder="1" applyAlignment="1">
      <alignment horizontal="center" wrapText="1"/>
    </xf>
    <xf numFmtId="0" fontId="72" fillId="2" borderId="63" xfId="0" applyFont="1" applyFill="1" applyBorder="1" applyAlignment="1">
      <alignment horizontal="center" vertical="center" wrapText="1"/>
    </xf>
    <xf numFmtId="0" fontId="72" fillId="2" borderId="65" xfId="0" applyFont="1" applyFill="1" applyBorder="1" applyAlignment="1">
      <alignment horizontal="center" vertical="center" wrapText="1"/>
    </xf>
    <xf numFmtId="0" fontId="72" fillId="2" borderId="64" xfId="0" applyFont="1" applyFill="1" applyBorder="1" applyAlignment="1">
      <alignment horizontal="center" vertical="center" wrapText="1"/>
    </xf>
    <xf numFmtId="0" fontId="72" fillId="2" borderId="66" xfId="0" applyFont="1" applyFill="1" applyBorder="1" applyAlignment="1">
      <alignment horizontal="center" vertical="center" wrapText="1"/>
    </xf>
    <xf numFmtId="0" fontId="44" fillId="2" borderId="61" xfId="0" applyFont="1" applyFill="1" applyBorder="1" applyAlignment="1">
      <alignment horizontal="center" vertical="center" wrapText="1"/>
    </xf>
    <xf numFmtId="0" fontId="44" fillId="2" borderId="40" xfId="0" applyFont="1" applyFill="1" applyBorder="1" applyAlignment="1">
      <alignment horizontal="center" vertical="center" wrapText="1"/>
    </xf>
    <xf numFmtId="0" fontId="72" fillId="2" borderId="67" xfId="0" applyFont="1" applyFill="1" applyBorder="1" applyAlignment="1">
      <alignment horizontal="center" vertical="center" wrapText="1"/>
    </xf>
    <xf numFmtId="0" fontId="72" fillId="2" borderId="68" xfId="0" applyFont="1" applyFill="1" applyBorder="1" applyAlignment="1">
      <alignment horizontal="center" vertical="center" wrapText="1"/>
    </xf>
    <xf numFmtId="0" fontId="72" fillId="2" borderId="13" xfId="0" applyFont="1" applyFill="1" applyBorder="1" applyAlignment="1">
      <alignment horizontal="center" vertical="center" wrapText="1"/>
    </xf>
    <xf numFmtId="0" fontId="72" fillId="2" borderId="3" xfId="0" applyFont="1" applyFill="1" applyBorder="1" applyAlignment="1">
      <alignment horizontal="center" vertical="center" wrapText="1"/>
    </xf>
    <xf numFmtId="0" fontId="72" fillId="2" borderId="12" xfId="5" applyFont="1" applyFill="1" applyBorder="1" applyAlignment="1">
      <alignment horizontal="left" vertical="center" wrapText="1"/>
    </xf>
    <xf numFmtId="0" fontId="72" fillId="2" borderId="69" xfId="0" applyFont="1" applyFill="1" applyBorder="1" applyAlignment="1">
      <alignment horizontal="center" vertical="center" wrapText="1"/>
    </xf>
    <xf numFmtId="0" fontId="72" fillId="2" borderId="41" xfId="0" applyFont="1" applyFill="1" applyBorder="1" applyAlignment="1">
      <alignment horizontal="center" vertical="center" wrapText="1"/>
    </xf>
    <xf numFmtId="0" fontId="72" fillId="10" borderId="12" xfId="5" applyFont="1" applyFill="1" applyBorder="1" applyAlignment="1">
      <alignment horizontal="left" vertical="center" wrapText="1"/>
    </xf>
    <xf numFmtId="0" fontId="72" fillId="2" borderId="70" xfId="0" applyFont="1" applyFill="1" applyBorder="1" applyAlignment="1">
      <alignment horizontal="left" vertical="center" wrapText="1"/>
    </xf>
    <xf numFmtId="0" fontId="72" fillId="2" borderId="71" xfId="0" applyFont="1" applyFill="1" applyBorder="1" applyAlignment="1">
      <alignment horizontal="center" wrapText="1"/>
    </xf>
    <xf numFmtId="0" fontId="72" fillId="2" borderId="44" xfId="0" applyFont="1" applyFill="1" applyBorder="1" applyAlignment="1">
      <alignment horizontal="center" wrapText="1"/>
    </xf>
    <xf numFmtId="10" fontId="44" fillId="2" borderId="42" xfId="3" applyNumberFormat="1" applyFont="1" applyFill="1" applyBorder="1" applyAlignment="1">
      <alignment horizontal="center" vertical="center" wrapText="1"/>
    </xf>
    <xf numFmtId="2" fontId="44" fillId="2" borderId="42" xfId="3" applyNumberFormat="1" applyFont="1" applyFill="1" applyBorder="1" applyAlignment="1">
      <alignment horizontal="center" vertical="center" wrapText="1"/>
    </xf>
    <xf numFmtId="0" fontId="72" fillId="2" borderId="72" xfId="0" applyFont="1" applyFill="1" applyBorder="1" applyAlignment="1">
      <alignment horizontal="center" vertical="top" wrapText="1"/>
    </xf>
    <xf numFmtId="0" fontId="72" fillId="2" borderId="69" xfId="0" applyFont="1" applyFill="1" applyBorder="1" applyAlignment="1">
      <alignment horizontal="center" vertical="top" wrapText="1"/>
    </xf>
    <xf numFmtId="165" fontId="44" fillId="2" borderId="42" xfId="3" applyNumberFormat="1" applyFont="1" applyFill="1" applyBorder="1" applyAlignment="1">
      <alignment horizontal="center" vertical="center" wrapText="1"/>
    </xf>
    <xf numFmtId="0" fontId="72" fillId="2" borderId="74" xfId="0" applyFont="1" applyFill="1" applyBorder="1" applyAlignment="1">
      <alignment horizontal="center" wrapText="1"/>
    </xf>
    <xf numFmtId="0" fontId="72" fillId="2" borderId="55" xfId="0" applyFont="1" applyFill="1" applyBorder="1" applyAlignment="1">
      <alignment horizontal="center" wrapText="1"/>
    </xf>
    <xf numFmtId="165" fontId="72" fillId="2" borderId="2" xfId="3" applyNumberFormat="1" applyFont="1" applyFill="1" applyBorder="1" applyAlignment="1">
      <alignment horizontal="center" vertical="center" wrapText="1"/>
    </xf>
    <xf numFmtId="165" fontId="72" fillId="2" borderId="45" xfId="3" applyNumberFormat="1" applyFont="1" applyFill="1" applyBorder="1" applyAlignment="1">
      <alignment horizontal="center" vertical="center" wrapText="1"/>
    </xf>
    <xf numFmtId="1" fontId="72" fillId="0" borderId="2" xfId="3" applyNumberFormat="1" applyFont="1" applyBorder="1" applyAlignment="1">
      <alignment horizontal="center" vertical="center" wrapText="1"/>
    </xf>
    <xf numFmtId="1" fontId="72" fillId="0" borderId="45" xfId="3" applyNumberFormat="1" applyFont="1" applyBorder="1" applyAlignment="1">
      <alignment horizontal="center" vertical="center" wrapText="1"/>
    </xf>
    <xf numFmtId="0" fontId="72" fillId="2" borderId="41" xfId="0" applyFont="1" applyFill="1" applyBorder="1" applyAlignment="1">
      <alignment horizontal="center" vertical="top" wrapText="1"/>
    </xf>
    <xf numFmtId="0" fontId="72" fillId="2" borderId="75" xfId="0" applyFont="1" applyFill="1" applyBorder="1" applyAlignment="1">
      <alignment horizontal="center" vertical="center" wrapText="1"/>
    </xf>
    <xf numFmtId="0" fontId="72" fillId="2" borderId="76" xfId="0" applyFont="1" applyFill="1" applyBorder="1" applyAlignment="1">
      <alignment horizontal="center" vertical="center" wrapText="1"/>
    </xf>
    <xf numFmtId="0" fontId="72" fillId="2" borderId="82" xfId="0" applyFont="1" applyFill="1" applyBorder="1" applyAlignment="1">
      <alignment horizontal="left" vertical="center" wrapText="1"/>
    </xf>
    <xf numFmtId="0" fontId="72" fillId="2" borderId="44" xfId="0" applyFont="1" applyFill="1" applyBorder="1" applyAlignment="1">
      <alignment horizontal="center" vertical="center"/>
    </xf>
    <xf numFmtId="0" fontId="72" fillId="2" borderId="83" xfId="0" applyFont="1" applyFill="1" applyBorder="1" applyAlignment="1">
      <alignment horizontal="center" vertical="center"/>
    </xf>
    <xf numFmtId="0" fontId="72" fillId="2" borderId="84" xfId="0" applyFont="1" applyFill="1" applyBorder="1" applyAlignment="1">
      <alignment horizontal="center" vertical="center" wrapText="1"/>
    </xf>
    <xf numFmtId="9" fontId="72" fillId="0" borderId="85" xfId="3" applyFont="1" applyBorder="1" applyAlignment="1">
      <alignment horizontal="center" vertical="center" wrapText="1"/>
    </xf>
    <xf numFmtId="9" fontId="44" fillId="2" borderId="86" xfId="3" applyFont="1" applyFill="1" applyBorder="1" applyAlignment="1">
      <alignment horizontal="center" vertical="center" wrapText="1"/>
    </xf>
    <xf numFmtId="0" fontId="72" fillId="2" borderId="80" xfId="0" applyFont="1" applyFill="1" applyBorder="1" applyAlignment="1">
      <alignment horizontal="left" vertical="center" wrapText="1"/>
    </xf>
    <xf numFmtId="0" fontId="72" fillId="2" borderId="69" xfId="0" applyFont="1" applyFill="1" applyBorder="1" applyAlignment="1">
      <alignment horizontal="center" vertical="center"/>
    </xf>
    <xf numFmtId="0" fontId="72" fillId="2" borderId="55" xfId="0" applyFont="1" applyFill="1" applyBorder="1" applyAlignment="1">
      <alignment horizontal="center" vertical="center"/>
    </xf>
    <xf numFmtId="0" fontId="72" fillId="2" borderId="79" xfId="0" applyFont="1" applyFill="1" applyBorder="1" applyAlignment="1">
      <alignment horizontal="center" vertical="center" wrapText="1"/>
    </xf>
    <xf numFmtId="0" fontId="72" fillId="2" borderId="81" xfId="0" applyFont="1" applyFill="1" applyBorder="1" applyAlignment="1">
      <alignment horizontal="center" vertical="center" wrapText="1"/>
    </xf>
    <xf numFmtId="0" fontId="72" fillId="2" borderId="78" xfId="0" applyFont="1" applyFill="1" applyBorder="1" applyAlignment="1">
      <alignment horizontal="center" vertical="center" wrapText="1"/>
    </xf>
    <xf numFmtId="0" fontId="72" fillId="2" borderId="41" xfId="0" applyFont="1" applyFill="1" applyBorder="1" applyAlignment="1">
      <alignment horizontal="center" wrapText="1"/>
    </xf>
    <xf numFmtId="0" fontId="16" fillId="16" borderId="13" xfId="0" applyFont="1" applyFill="1" applyBorder="1" applyAlignment="1">
      <alignment horizontal="left" vertical="center" wrapText="1"/>
    </xf>
    <xf numFmtId="0" fontId="16" fillId="16" borderId="10" xfId="0" applyFont="1" applyFill="1" applyBorder="1" applyAlignment="1">
      <alignment horizontal="left" vertical="center" wrapText="1"/>
    </xf>
    <xf numFmtId="0" fontId="16" fillId="16" borderId="3" xfId="0" applyFont="1" applyFill="1" applyBorder="1" applyAlignment="1">
      <alignment horizontal="left" vertical="center" wrapText="1"/>
    </xf>
    <xf numFmtId="0" fontId="16" fillId="16" borderId="87" xfId="0" applyFont="1" applyFill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6" fillId="16" borderId="20" xfId="0" applyFont="1" applyFill="1" applyBorder="1" applyAlignment="1">
      <alignment horizontal="center" vertical="center" wrapText="1"/>
    </xf>
    <xf numFmtId="0" fontId="16" fillId="16" borderId="12" xfId="0" applyFont="1" applyFill="1" applyBorder="1" applyAlignment="1">
      <alignment horizontal="center" vertical="center" wrapText="1"/>
    </xf>
    <xf numFmtId="0" fontId="54" fillId="14" borderId="2" xfId="0" applyFont="1" applyFill="1" applyBorder="1" applyAlignment="1">
      <alignment horizontal="center" vertical="center" wrapText="1"/>
    </xf>
    <xf numFmtId="0" fontId="54" fillId="14" borderId="4" xfId="0" applyFont="1" applyFill="1" applyBorder="1" applyAlignment="1">
      <alignment horizontal="center" vertical="center" wrapText="1"/>
    </xf>
    <xf numFmtId="0" fontId="16" fillId="16" borderId="1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3" fillId="8" borderId="1" xfId="0" applyFont="1" applyFill="1" applyBorder="1" applyAlignment="1">
      <alignment horizontal="left" vertical="center" wrapText="1"/>
    </xf>
    <xf numFmtId="0" fontId="62" fillId="15" borderId="2" xfId="0" applyFont="1" applyFill="1" applyBorder="1" applyAlignment="1">
      <alignment horizontal="center" vertical="center" wrapText="1"/>
    </xf>
    <xf numFmtId="0" fontId="62" fillId="15" borderId="4" xfId="0" applyFont="1" applyFill="1" applyBorder="1" applyAlignment="1">
      <alignment horizontal="center" vertical="center" wrapText="1"/>
    </xf>
    <xf numFmtId="0" fontId="16" fillId="16" borderId="59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right" vertical="center" wrapText="1"/>
    </xf>
    <xf numFmtId="0" fontId="13" fillId="8" borderId="30" xfId="0" applyFont="1" applyFill="1" applyBorder="1" applyAlignment="1">
      <alignment horizontal="right" vertical="center" wrapText="1"/>
    </xf>
    <xf numFmtId="0" fontId="13" fillId="8" borderId="3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8" fillId="9" borderId="0" xfId="0" applyFont="1" applyFill="1" applyBorder="1" applyAlignment="1">
      <alignment horizontal="left" vertical="center" wrapText="1"/>
    </xf>
    <xf numFmtId="0" fontId="14" fillId="16" borderId="13" xfId="0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4" fillId="16" borderId="3" xfId="0" applyFont="1" applyFill="1" applyBorder="1" applyAlignment="1">
      <alignment horizontal="center" vertical="center" wrapText="1"/>
    </xf>
    <xf numFmtId="165" fontId="14" fillId="16" borderId="1" xfId="0" applyNumberFormat="1" applyFont="1" applyFill="1" applyBorder="1" applyAlignment="1">
      <alignment horizontal="center" vertical="center" wrapText="1"/>
    </xf>
    <xf numFmtId="0" fontId="14" fillId="16" borderId="13" xfId="0" applyFont="1" applyFill="1" applyBorder="1" applyAlignment="1" applyProtection="1">
      <alignment horizontal="left" vertical="center"/>
      <protection locked="0"/>
    </xf>
    <xf numFmtId="0" fontId="14" fillId="16" borderId="10" xfId="0" applyFont="1" applyFill="1" applyBorder="1" applyAlignment="1" applyProtection="1">
      <alignment horizontal="left" vertical="center"/>
      <protection locked="0"/>
    </xf>
    <xf numFmtId="0" fontId="14" fillId="16" borderId="13" xfId="0" applyFont="1" applyFill="1" applyBorder="1" applyAlignment="1">
      <alignment horizontal="left" vertical="center"/>
    </xf>
    <xf numFmtId="0" fontId="14" fillId="16" borderId="10" xfId="0" applyFont="1" applyFill="1" applyBorder="1" applyAlignment="1">
      <alignment horizontal="left" vertical="center"/>
    </xf>
    <xf numFmtId="0" fontId="14" fillId="16" borderId="17" xfId="0" applyFont="1" applyFill="1" applyBorder="1" applyAlignment="1">
      <alignment horizontal="center" vertical="center" wrapText="1"/>
    </xf>
    <xf numFmtId="0" fontId="14" fillId="16" borderId="19" xfId="0" applyFont="1" applyFill="1" applyBorder="1" applyAlignment="1">
      <alignment horizontal="center" vertical="center" wrapText="1"/>
    </xf>
    <xf numFmtId="0" fontId="14" fillId="16" borderId="26" xfId="0" applyFont="1" applyFill="1" applyBorder="1" applyAlignment="1">
      <alignment horizontal="center" vertical="center" wrapText="1"/>
    </xf>
    <xf numFmtId="0" fontId="14" fillId="16" borderId="28" xfId="0" applyFont="1" applyFill="1" applyBorder="1" applyAlignment="1">
      <alignment horizontal="center" vertical="center" wrapText="1"/>
    </xf>
    <xf numFmtId="0" fontId="60" fillId="2" borderId="18" xfId="0" applyFont="1" applyFill="1" applyBorder="1" applyAlignment="1">
      <alignment horizontal="left" vertical="center"/>
    </xf>
    <xf numFmtId="41" fontId="14" fillId="16" borderId="2" xfId="0" applyNumberFormat="1" applyFont="1" applyFill="1" applyBorder="1" applyAlignment="1" applyProtection="1">
      <alignment horizontal="center" vertical="center" wrapText="1"/>
    </xf>
    <xf numFmtId="41" fontId="14" fillId="16" borderId="4" xfId="0" applyNumberFormat="1" applyFont="1" applyFill="1" applyBorder="1" applyAlignment="1" applyProtection="1">
      <alignment horizontal="center" vertical="center" wrapText="1"/>
    </xf>
    <xf numFmtId="165" fontId="14" fillId="16" borderId="13" xfId="0" applyNumberFormat="1" applyFont="1" applyFill="1" applyBorder="1" applyAlignment="1" applyProtection="1">
      <alignment horizontal="center" vertical="center" wrapText="1"/>
    </xf>
    <xf numFmtId="165" fontId="14" fillId="16" borderId="3" xfId="0" applyNumberFormat="1" applyFont="1" applyFill="1" applyBorder="1" applyAlignment="1" applyProtection="1">
      <alignment horizontal="center" vertical="center" wrapText="1"/>
    </xf>
    <xf numFmtId="0" fontId="34" fillId="19" borderId="1" xfId="0" applyFont="1" applyFill="1" applyBorder="1" applyAlignment="1">
      <alignment horizontal="left" vertical="center" wrapText="1"/>
    </xf>
    <xf numFmtId="0" fontId="19" fillId="19" borderId="1" xfId="0" applyFont="1" applyFill="1" applyBorder="1" applyAlignment="1">
      <alignment horizontal="left" vertical="center" wrapText="1"/>
    </xf>
    <xf numFmtId="0" fontId="78" fillId="21" borderId="2" xfId="0" applyFont="1" applyFill="1" applyBorder="1" applyAlignment="1">
      <alignment horizontal="center" vertical="center" wrapText="1"/>
    </xf>
    <xf numFmtId="0" fontId="78" fillId="21" borderId="4" xfId="0" applyFont="1" applyFill="1" applyBorder="1" applyAlignment="1">
      <alignment horizontal="center" vertical="center" wrapText="1"/>
    </xf>
    <xf numFmtId="0" fontId="32" fillId="12" borderId="24" xfId="0" applyFont="1" applyFill="1" applyBorder="1" applyAlignment="1">
      <alignment horizontal="left" vertical="top" wrapText="1"/>
    </xf>
    <xf numFmtId="0" fontId="32" fillId="12" borderId="0" xfId="0" applyFont="1" applyFill="1" applyBorder="1" applyAlignment="1">
      <alignment horizontal="left" vertical="top" wrapText="1"/>
    </xf>
    <xf numFmtId="0" fontId="78" fillId="21" borderId="13" xfId="0" applyFont="1" applyFill="1" applyBorder="1" applyAlignment="1">
      <alignment horizontal="center" vertical="center" wrapText="1"/>
    </xf>
    <xf numFmtId="0" fontId="78" fillId="21" borderId="10" xfId="0" applyFont="1" applyFill="1" applyBorder="1" applyAlignment="1">
      <alignment horizontal="center" vertical="center" wrapText="1"/>
    </xf>
    <xf numFmtId="0" fontId="78" fillId="21" borderId="3" xfId="0" applyFont="1" applyFill="1" applyBorder="1" applyAlignment="1">
      <alignment horizontal="center" vertical="center" wrapText="1"/>
    </xf>
    <xf numFmtId="0" fontId="78" fillId="21" borderId="24" xfId="0" applyFont="1" applyFill="1" applyBorder="1" applyAlignment="1">
      <alignment horizontal="center" vertical="center" wrapText="1"/>
    </xf>
    <xf numFmtId="0" fontId="78" fillId="21" borderId="0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37" fillId="18" borderId="26" xfId="0" applyFont="1" applyFill="1" applyBorder="1" applyAlignment="1">
      <alignment horizontal="left" vertical="center" wrapText="1"/>
    </xf>
    <xf numFmtId="0" fontId="37" fillId="18" borderId="27" xfId="0" applyFont="1" applyFill="1" applyBorder="1" applyAlignment="1">
      <alignment horizontal="left" vertical="center" wrapText="1"/>
    </xf>
    <xf numFmtId="0" fontId="50" fillId="9" borderId="13" xfId="0" applyFont="1" applyFill="1" applyBorder="1" applyAlignment="1">
      <alignment horizontal="left" vertical="top" wrapText="1"/>
    </xf>
    <xf numFmtId="0" fontId="50" fillId="9" borderId="10" xfId="0" applyFont="1" applyFill="1" applyBorder="1" applyAlignment="1">
      <alignment horizontal="left" vertical="top" wrapText="1"/>
    </xf>
    <xf numFmtId="0" fontId="50" fillId="9" borderId="3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2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11" fillId="5" borderId="14" xfId="0" applyFont="1" applyFill="1" applyBorder="1" applyAlignment="1">
      <alignment horizontal="left" vertical="center" wrapText="1"/>
    </xf>
    <xf numFmtId="0" fontId="11" fillId="5" borderId="15" xfId="0" applyFont="1" applyFill="1" applyBorder="1" applyAlignment="1">
      <alignment horizontal="left" vertical="center" wrapText="1"/>
    </xf>
    <xf numFmtId="0" fontId="11" fillId="5" borderId="16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4" fillId="16" borderId="2" xfId="0" applyFont="1" applyFill="1" applyBorder="1" applyAlignment="1">
      <alignment horizontal="center" vertical="center" textRotation="90"/>
    </xf>
    <xf numFmtId="0" fontId="14" fillId="16" borderId="32" xfId="0" applyFont="1" applyFill="1" applyBorder="1" applyAlignment="1">
      <alignment horizontal="center" vertical="center" textRotation="90"/>
    </xf>
    <xf numFmtId="0" fontId="14" fillId="16" borderId="4" xfId="0" applyFont="1" applyFill="1" applyBorder="1" applyAlignment="1">
      <alignment horizontal="center" vertical="center" textRotation="90"/>
    </xf>
    <xf numFmtId="0" fontId="8" fillId="11" borderId="17" xfId="0" applyFont="1" applyFill="1" applyBorder="1" applyAlignment="1">
      <alignment horizontal="center" vertical="center" wrapText="1"/>
    </xf>
    <xf numFmtId="0" fontId="8" fillId="11" borderId="19" xfId="0" applyFont="1" applyFill="1" applyBorder="1" applyAlignment="1">
      <alignment horizontal="center" vertical="center" wrapText="1"/>
    </xf>
    <xf numFmtId="0" fontId="8" fillId="11" borderId="26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7" borderId="17" xfId="0" applyFont="1" applyFill="1" applyBorder="1" applyAlignment="1">
      <alignment horizontal="center" vertical="center" wrapText="1"/>
    </xf>
    <xf numFmtId="0" fontId="8" fillId="17" borderId="18" xfId="0" applyFont="1" applyFill="1" applyBorder="1" applyAlignment="1">
      <alignment horizontal="center" vertical="center" wrapText="1"/>
    </xf>
    <xf numFmtId="0" fontId="8" fillId="17" borderId="19" xfId="0" applyFont="1" applyFill="1" applyBorder="1" applyAlignment="1">
      <alignment horizontal="center" vertical="center" wrapText="1"/>
    </xf>
    <xf numFmtId="0" fontId="8" fillId="17" borderId="24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 wrapText="1"/>
    </xf>
    <xf numFmtId="0" fontId="8" fillId="17" borderId="25" xfId="0" applyFont="1" applyFill="1" applyBorder="1" applyAlignment="1">
      <alignment horizontal="center" vertical="center" wrapText="1"/>
    </xf>
    <xf numFmtId="0" fontId="8" fillId="17" borderId="26" xfId="0" applyFont="1" applyFill="1" applyBorder="1" applyAlignment="1">
      <alignment horizontal="center" vertical="center" wrapText="1"/>
    </xf>
    <xf numFmtId="0" fontId="8" fillId="17" borderId="27" xfId="0" applyFont="1" applyFill="1" applyBorder="1" applyAlignment="1">
      <alignment horizontal="center" vertical="center" wrapText="1"/>
    </xf>
    <xf numFmtId="0" fontId="8" fillId="17" borderId="28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1" fillId="11" borderId="18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1" fillId="11" borderId="24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25" xfId="0" applyFont="1" applyFill="1" applyBorder="1" applyAlignment="1">
      <alignment horizontal="center" vertical="center" wrapText="1"/>
    </xf>
    <xf numFmtId="0" fontId="11" fillId="11" borderId="26" xfId="0" applyFont="1" applyFill="1" applyBorder="1" applyAlignment="1">
      <alignment horizontal="center" vertical="center" wrapText="1"/>
    </xf>
    <xf numFmtId="0" fontId="11" fillId="11" borderId="27" xfId="0" applyFont="1" applyFill="1" applyBorder="1" applyAlignment="1">
      <alignment horizontal="center" vertical="center" wrapText="1"/>
    </xf>
    <xf numFmtId="0" fontId="11" fillId="11" borderId="28" xfId="0" applyFont="1" applyFill="1" applyBorder="1" applyAlignment="1">
      <alignment horizontal="center" vertical="center" wrapText="1"/>
    </xf>
    <xf numFmtId="41" fontId="14" fillId="16" borderId="1" xfId="0" applyNumberFormat="1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left"/>
    </xf>
    <xf numFmtId="0" fontId="14" fillId="16" borderId="1" xfId="0" applyFont="1" applyFill="1" applyBorder="1" applyAlignment="1">
      <alignment horizontal="center" vertical="center" textRotation="90"/>
    </xf>
    <xf numFmtId="0" fontId="19" fillId="9" borderId="1" xfId="0" applyFont="1" applyFill="1" applyBorder="1" applyAlignment="1">
      <alignment horizontal="left" vertical="center"/>
    </xf>
    <xf numFmtId="41" fontId="8" fillId="2" borderId="1" xfId="0" applyNumberFormat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/>
    </xf>
    <xf numFmtId="41" fontId="14" fillId="16" borderId="1" xfId="0" applyNumberFormat="1" applyFont="1" applyFill="1" applyBorder="1" applyAlignment="1">
      <alignment horizontal="left" vertical="center" wrapText="1"/>
    </xf>
    <xf numFmtId="0" fontId="14" fillId="16" borderId="1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 wrapText="1"/>
    </xf>
    <xf numFmtId="0" fontId="14" fillId="16" borderId="1" xfId="0" applyFont="1" applyFill="1" applyBorder="1" applyAlignment="1">
      <alignment horizontal="left" vertical="center" wrapText="1"/>
    </xf>
    <xf numFmtId="0" fontId="14" fillId="8" borderId="21" xfId="0" applyFont="1" applyFill="1" applyBorder="1" applyAlignment="1">
      <alignment horizontal="left" vertical="center"/>
    </xf>
    <xf numFmtId="0" fontId="14" fillId="8" borderId="22" xfId="0" applyFont="1" applyFill="1" applyBorder="1" applyAlignment="1">
      <alignment horizontal="left" vertical="center"/>
    </xf>
    <xf numFmtId="0" fontId="14" fillId="8" borderId="23" xfId="0" applyFont="1" applyFill="1" applyBorder="1" applyAlignment="1">
      <alignment horizontal="left" vertical="center"/>
    </xf>
    <xf numFmtId="0" fontId="16" fillId="16" borderId="17" xfId="0" applyFont="1" applyFill="1" applyBorder="1" applyAlignment="1">
      <alignment horizontal="left" vertical="center"/>
    </xf>
    <xf numFmtId="0" fontId="16" fillId="16" borderId="18" xfId="0" applyFont="1" applyFill="1" applyBorder="1" applyAlignment="1">
      <alignment horizontal="left" vertical="center"/>
    </xf>
    <xf numFmtId="0" fontId="16" fillId="16" borderId="10" xfId="0" applyFont="1" applyFill="1" applyBorder="1" applyAlignment="1">
      <alignment horizontal="left" vertical="center"/>
    </xf>
    <xf numFmtId="0" fontId="16" fillId="16" borderId="3" xfId="0" applyFont="1" applyFill="1" applyBorder="1" applyAlignment="1">
      <alignment horizontal="left" vertical="center"/>
    </xf>
    <xf numFmtId="0" fontId="16" fillId="16" borderId="1" xfId="0" applyFont="1" applyFill="1" applyBorder="1" applyAlignment="1">
      <alignment horizontal="center" vertical="center" wrapText="1"/>
    </xf>
    <xf numFmtId="0" fontId="82" fillId="16" borderId="1" xfId="0" applyFont="1" applyFill="1" applyBorder="1" applyAlignment="1">
      <alignment horizontal="center" vertical="center" wrapText="1"/>
    </xf>
    <xf numFmtId="0" fontId="82" fillId="16" borderId="1" xfId="0" applyFont="1" applyFill="1" applyBorder="1" applyAlignment="1">
      <alignment horizontal="center" vertical="center"/>
    </xf>
    <xf numFmtId="0" fontId="82" fillId="16" borderId="13" xfId="0" applyFont="1" applyFill="1" applyBorder="1" applyAlignment="1">
      <alignment horizontal="center" vertical="center"/>
    </xf>
    <xf numFmtId="0" fontId="82" fillId="16" borderId="10" xfId="0" applyFont="1" applyFill="1" applyBorder="1" applyAlignment="1">
      <alignment horizontal="center" vertical="center"/>
    </xf>
    <xf numFmtId="164" fontId="84" fillId="9" borderId="1" xfId="4" applyFont="1" applyFill="1" applyBorder="1" applyAlignment="1">
      <alignment horizontal="center" vertical="center" wrapText="1"/>
    </xf>
    <xf numFmtId="0" fontId="16" fillId="16" borderId="1" xfId="0" applyFont="1" applyFill="1" applyBorder="1" applyAlignment="1" applyProtection="1">
      <alignment horizontal="left" vertical="center"/>
      <protection locked="0"/>
    </xf>
    <xf numFmtId="0" fontId="48" fillId="5" borderId="17" xfId="0" applyFont="1" applyFill="1" applyBorder="1" applyAlignment="1">
      <alignment horizontal="justify" vertical="top" wrapText="1"/>
    </xf>
    <xf numFmtId="0" fontId="48" fillId="5" borderId="18" xfId="0" applyFont="1" applyFill="1" applyBorder="1" applyAlignment="1">
      <alignment horizontal="justify" vertical="top" wrapText="1"/>
    </xf>
    <xf numFmtId="0" fontId="48" fillId="5" borderId="19" xfId="0" applyFont="1" applyFill="1" applyBorder="1" applyAlignment="1">
      <alignment horizontal="justify" vertical="top" wrapText="1"/>
    </xf>
    <xf numFmtId="0" fontId="48" fillId="5" borderId="24" xfId="0" applyFont="1" applyFill="1" applyBorder="1" applyAlignment="1">
      <alignment horizontal="justify" vertical="top" wrapText="1"/>
    </xf>
    <xf numFmtId="0" fontId="48" fillId="5" borderId="0" xfId="0" applyFont="1" applyFill="1" applyBorder="1" applyAlignment="1">
      <alignment horizontal="justify" vertical="top" wrapText="1"/>
    </xf>
    <xf numFmtId="0" fontId="48" fillId="5" borderId="25" xfId="0" applyFont="1" applyFill="1" applyBorder="1" applyAlignment="1">
      <alignment horizontal="justify" vertical="top" wrapText="1"/>
    </xf>
    <xf numFmtId="0" fontId="48" fillId="5" borderId="26" xfId="0" applyFont="1" applyFill="1" applyBorder="1" applyAlignment="1">
      <alignment horizontal="justify" vertical="top" wrapText="1"/>
    </xf>
    <xf numFmtId="0" fontId="48" fillId="5" borderId="27" xfId="0" applyFont="1" applyFill="1" applyBorder="1" applyAlignment="1">
      <alignment horizontal="justify" vertical="top" wrapText="1"/>
    </xf>
    <xf numFmtId="0" fontId="48" fillId="5" borderId="28" xfId="0" applyFont="1" applyFill="1" applyBorder="1" applyAlignment="1">
      <alignment horizontal="justify" vertical="top" wrapText="1"/>
    </xf>
    <xf numFmtId="0" fontId="85" fillId="0" borderId="24" xfId="0" applyFont="1" applyBorder="1" applyAlignment="1">
      <alignment horizontal="center" vertical="center"/>
    </xf>
    <xf numFmtId="0" fontId="16" fillId="16" borderId="1" xfId="0" applyFont="1" applyFill="1" applyBorder="1" applyAlignment="1">
      <alignment horizontal="right" vertical="center" wrapText="1"/>
    </xf>
    <xf numFmtId="169" fontId="16" fillId="16" borderId="1" xfId="4" applyNumberFormat="1" applyFont="1" applyFill="1" applyBorder="1" applyAlignment="1">
      <alignment horizontal="center" vertical="center" wrapText="1"/>
    </xf>
    <xf numFmtId="0" fontId="82" fillId="16" borderId="13" xfId="0" applyFont="1" applyFill="1" applyBorder="1" applyAlignment="1">
      <alignment horizontal="left" vertical="center"/>
    </xf>
    <xf numFmtId="0" fontId="82" fillId="16" borderId="10" xfId="0" applyFont="1" applyFill="1" applyBorder="1" applyAlignment="1">
      <alignment horizontal="left" vertical="center"/>
    </xf>
    <xf numFmtId="0" fontId="82" fillId="16" borderId="3" xfId="0" applyFont="1" applyFill="1" applyBorder="1" applyAlignment="1">
      <alignment horizontal="left" vertical="center"/>
    </xf>
    <xf numFmtId="164" fontId="82" fillId="16" borderId="1" xfId="4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61" fillId="17" borderId="2" xfId="0" applyFont="1" applyFill="1" applyBorder="1" applyAlignment="1">
      <alignment horizontal="center" vertical="center" wrapText="1"/>
    </xf>
    <xf numFmtId="0" fontId="61" fillId="17" borderId="32" xfId="0" applyFont="1" applyFill="1" applyBorder="1" applyAlignment="1">
      <alignment horizontal="center" vertical="center" wrapText="1"/>
    </xf>
    <xf numFmtId="0" fontId="61" fillId="17" borderId="4" xfId="0" applyFont="1" applyFill="1" applyBorder="1" applyAlignment="1">
      <alignment horizontal="center" vertical="center" wrapText="1"/>
    </xf>
    <xf numFmtId="0" fontId="61" fillId="11" borderId="2" xfId="0" quotePrefix="1" applyFont="1" applyFill="1" applyBorder="1" applyAlignment="1">
      <alignment horizontal="center" vertical="center" wrapText="1"/>
    </xf>
    <xf numFmtId="0" fontId="61" fillId="11" borderId="32" xfId="0" quotePrefix="1" applyFont="1" applyFill="1" applyBorder="1" applyAlignment="1">
      <alignment horizontal="center" vertical="center" wrapText="1"/>
    </xf>
    <xf numFmtId="0" fontId="61" fillId="11" borderId="4" xfId="0" quotePrefix="1" applyFont="1" applyFill="1" applyBorder="1" applyAlignment="1">
      <alignment horizontal="center" vertical="center" wrapText="1"/>
    </xf>
    <xf numFmtId="0" fontId="88" fillId="9" borderId="13" xfId="0" applyFont="1" applyFill="1" applyBorder="1" applyAlignment="1">
      <alignment horizontal="center" vertical="center"/>
    </xf>
    <xf numFmtId="0" fontId="88" fillId="9" borderId="3" xfId="0" applyFont="1" applyFill="1" applyBorder="1" applyAlignment="1">
      <alignment horizontal="center" vertical="center"/>
    </xf>
    <xf numFmtId="0" fontId="61" fillId="17" borderId="2" xfId="0" quotePrefix="1" applyFont="1" applyFill="1" applyBorder="1" applyAlignment="1">
      <alignment horizontal="center" vertical="center" wrapText="1"/>
    </xf>
    <xf numFmtId="0" fontId="61" fillId="17" borderId="32" xfId="0" quotePrefix="1" applyFont="1" applyFill="1" applyBorder="1" applyAlignment="1">
      <alignment horizontal="center" vertical="center" wrapText="1"/>
    </xf>
    <xf numFmtId="0" fontId="61" fillId="17" borderId="4" xfId="0" quotePrefix="1" applyFont="1" applyFill="1" applyBorder="1" applyAlignment="1">
      <alignment horizontal="center" vertical="center" wrapText="1"/>
    </xf>
    <xf numFmtId="0" fontId="61" fillId="11" borderId="2" xfId="0" applyFont="1" applyFill="1" applyBorder="1" applyAlignment="1">
      <alignment horizontal="center" vertical="center" wrapText="1"/>
    </xf>
    <xf numFmtId="0" fontId="61" fillId="11" borderId="4" xfId="0" applyFont="1" applyFill="1" applyBorder="1" applyAlignment="1">
      <alignment horizontal="center" vertical="center" wrapText="1"/>
    </xf>
  </cellXfs>
  <cellStyles count="16">
    <cellStyle name="Bom" xfId="1" builtinId="26"/>
    <cellStyle name="Hiperlink" xfId="15" builtinId="8"/>
    <cellStyle name="Moeda 2" xfId="6"/>
    <cellStyle name="Neutra" xfId="2" builtinId="28"/>
    <cellStyle name="Normal" xfId="0" builtinId="0"/>
    <cellStyle name="Normal 2" xfId="5"/>
    <cellStyle name="Normal 2 2" xfId="14"/>
    <cellStyle name="Normal 3" xfId="8"/>
    <cellStyle name="Normal 3 2" xfId="9"/>
    <cellStyle name="Normal 3 2 2" xfId="13"/>
    <cellStyle name="Porcentagem" xfId="3" builtinId="5"/>
    <cellStyle name="Porcentagem 2" xfId="12"/>
    <cellStyle name="Vírgula" xfId="4" builtinId="3"/>
    <cellStyle name="Vírgula 2" xfId="7"/>
    <cellStyle name="Vírgula 2 2" xfId="11"/>
    <cellStyle name="Vírgula 4" xfId="10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8080"/>
      <color rgb="FF777777"/>
      <color rgb="FF009999"/>
      <color rgb="FF33CCCC"/>
      <color rgb="FFF2F2F2"/>
      <color rgb="FFFFFFFF"/>
      <color rgb="FFF6FAF4"/>
      <color rgb="FFB9FFFF"/>
      <color rgb="FFD7E9E0"/>
      <color rgb="FFECF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1</xdr:row>
      <xdr:rowOff>9525</xdr:rowOff>
    </xdr:from>
    <xdr:to>
      <xdr:col>8</xdr:col>
      <xdr:colOff>581025</xdr:colOff>
      <xdr:row>2</xdr:row>
      <xdr:rowOff>476251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alphaModFix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10000"/>
                  </a14:imgEffect>
                  <a14:imgEffect>
                    <a14:brightnessContrast bright="10000" contrast="1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1404" b="15781"/>
        <a:stretch/>
      </xdr:blipFill>
      <xdr:spPr bwMode="auto">
        <a:xfrm>
          <a:off x="276224" y="209550"/>
          <a:ext cx="5124451" cy="6572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47624</xdr:colOff>
      <xdr:row>1</xdr:row>
      <xdr:rowOff>161924</xdr:rowOff>
    </xdr:from>
    <xdr:to>
      <xdr:col>18</xdr:col>
      <xdr:colOff>571499</xdr:colOff>
      <xdr:row>2</xdr:row>
      <xdr:rowOff>495299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alphaModFix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10000"/>
                  </a14:imgEffect>
                  <a14:imgEffect>
                    <a14:brightnessContrast bright="10000" contrast="1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1404" b="15781"/>
        <a:stretch/>
      </xdr:blipFill>
      <xdr:spPr bwMode="auto">
        <a:xfrm>
          <a:off x="6696074" y="361949"/>
          <a:ext cx="47910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28575</xdr:rowOff>
    </xdr:from>
    <xdr:to>
      <xdr:col>10</xdr:col>
      <xdr:colOff>581025</xdr:colOff>
      <xdr:row>26</xdr:row>
      <xdr:rowOff>57150</xdr:rowOff>
    </xdr:to>
    <xdr:sp macro="" textlink="">
      <xdr:nvSpPr>
        <xdr:cNvPr id="49153" name="Object 1" hidden="1">
          <a:extLst>
            <a:ext uri="{63B3BB69-23CF-44E3-9099-C40C66FF867C}">
              <a14:compatExt xmlns:a14="http://schemas.microsoft.com/office/drawing/2010/main" spid="_x0000_s49153"/>
            </a:ext>
            <a:ext uri="{FF2B5EF4-FFF2-40B4-BE49-F238E27FC236}">
              <a16:creationId xmlns="" xmlns:a16="http://schemas.microsoft.com/office/drawing/2014/main" id="{00000000-0008-0000-0200-000001C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32422</xdr:rowOff>
    </xdr:from>
    <xdr:to>
      <xdr:col>10</xdr:col>
      <xdr:colOff>569026</xdr:colOff>
      <xdr:row>51</xdr:row>
      <xdr:rowOff>19791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09497"/>
          <a:ext cx="6665026" cy="4178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37</xdr:row>
      <xdr:rowOff>76815</xdr:rowOff>
    </xdr:from>
    <xdr:to>
      <xdr:col>13</xdr:col>
      <xdr:colOff>412648</xdr:colOff>
      <xdr:row>43</xdr:row>
      <xdr:rowOff>14142</xdr:rowOff>
    </xdr:to>
    <xdr:sp macro="" textlink="">
      <xdr:nvSpPr>
        <xdr:cNvPr id="4" name="Retângulo de cantos arredondados 1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6705600" y="8677890"/>
          <a:ext cx="1631848" cy="1080327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5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Facultativo a utilização dos ODS na Programação 2021.</a:t>
          </a:r>
          <a:endParaRPr lang="pt-BR" sz="15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28575</xdr:rowOff>
    </xdr:from>
    <xdr:to>
      <xdr:col>10</xdr:col>
      <xdr:colOff>581025</xdr:colOff>
      <xdr:row>26</xdr:row>
      <xdr:rowOff>57150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B129BEC0-A81E-463D-B091-2578AF8C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6677025" cy="480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Users\patriciagomo\Desktop\Tabelas%20Diretrizes%20-%20Reprog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ASSESSORIA%20DE%20PLANEJAMENTO%20E%20GESTAO%20DA%20ESTRATEGIA\2021\Programa&#231;&#227;o%202021\Pareceres\Vers&#227;o%20Final\Parecer%20da%20Programa&#231;&#227;o%202021%20CAU-B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  <sheetName val="QUADRO_1"/>
      <sheetName val="QUADRO_2"/>
      <sheetName val="QUADRO_3"/>
      <sheetName val="QUADRO_4"/>
      <sheetName val="Simulação_de_%"/>
      <sheetName val="Estudos_-_Receita"/>
      <sheetName val="ANEXO_I"/>
      <sheetName val="ANEXO_II"/>
      <sheetName val="ANEXO_III_e_Anexo_IX"/>
      <sheetName val="Estudos_-_Quant__PF"/>
      <sheetName val="NOVOS_EGRESSOS"/>
      <sheetName val="ANEXO_IV"/>
      <sheetName val="ANEXO_V"/>
      <sheetName val="Estudos_-_Quant__PJ"/>
      <sheetName val="ANEXO_VI"/>
      <sheetName val="ANEXO_VII"/>
      <sheetName val="ANEXO_VIII"/>
      <sheetName val="ANEXO_X_Aporte_FA"/>
      <sheetName val="ANEXO_X_I_Repasse_FA"/>
      <sheetName val="ANEXO_XI_CSC_Total"/>
      <sheetName val="ANEXO_XI_I_CSC_RIA"/>
      <sheetName val="ANEXO_XI_II_CSC_Essencial"/>
      <sheetName val="ANEXO_XI_III_-_RIA_Enc__dContas"/>
      <sheetName val="ANEXO_XII"/>
      <sheetName val="XIII__TAXAS_BANCÁRIAS"/>
      <sheetName val="NOVO_SISCAF"/>
      <sheetName val="Gráficos_e_Tabelas"/>
      <sheetName val="Resumo_-_Ajuste_pelos_U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">
          <cell r="J2" t="str">
            <v>PJ até 2 anos com sócio AU formado até 2 anos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erência"/>
      <sheetName val="Capa do Parecer"/>
      <sheetName val="Mapa Estratégico e ODS"/>
      <sheetName val="Análise Geral"/>
      <sheetName val="Indicadores e Metas"/>
      <sheetName val="FORM.1"/>
      <sheetName val="FORM.2"/>
      <sheetName val="Quadro Geral (2)"/>
      <sheetName val="FORM.3"/>
      <sheetName val="FORM.4"/>
      <sheetName val="PARECER"/>
      <sheetName val="FORM.1(rascunho)"/>
      <sheetName val="Resumo"/>
      <sheetName val="AÇÕES ESTRATÉGICAS - DESCRIÇÃO "/>
    </sheetNames>
    <sheetDataSet>
      <sheetData sheetId="0"/>
      <sheetData sheetId="1"/>
      <sheetData sheetId="2"/>
      <sheetData sheetId="3"/>
      <sheetData sheetId="4">
        <row r="6">
          <cell r="F6">
            <v>0.46</v>
          </cell>
        </row>
      </sheetData>
      <sheetData sheetId="5">
        <row r="7">
          <cell r="D7">
            <v>3309248.67</v>
          </cell>
        </row>
        <row r="8">
          <cell r="D8">
            <v>3268905.76</v>
          </cell>
        </row>
        <row r="9">
          <cell r="D9">
            <v>1758459.48</v>
          </cell>
        </row>
        <row r="10">
          <cell r="D10">
            <v>1516855.04</v>
          </cell>
        </row>
        <row r="11">
          <cell r="D11">
            <v>1286565.26</v>
          </cell>
        </row>
        <row r="12">
          <cell r="D12">
            <v>230289.78</v>
          </cell>
        </row>
        <row r="13">
          <cell r="D13">
            <v>241604.44</v>
          </cell>
        </row>
        <row r="14">
          <cell r="D14">
            <v>177466.94</v>
          </cell>
        </row>
        <row r="15">
          <cell r="D15">
            <v>64137.5</v>
          </cell>
        </row>
        <row r="16">
          <cell r="D16">
            <v>1369680</v>
          </cell>
        </row>
        <row r="17">
          <cell r="D17">
            <v>140766.28</v>
          </cell>
        </row>
        <row r="18">
          <cell r="D18">
            <v>30000</v>
          </cell>
        </row>
        <row r="19">
          <cell r="D19">
            <v>10342.91</v>
          </cell>
        </row>
        <row r="20">
          <cell r="D20">
            <v>0</v>
          </cell>
        </row>
        <row r="21">
          <cell r="D21">
            <v>560000</v>
          </cell>
        </row>
        <row r="22">
          <cell r="D22">
            <v>560000</v>
          </cell>
        </row>
        <row r="23">
          <cell r="D23">
            <v>0</v>
          </cell>
        </row>
        <row r="24">
          <cell r="D24">
            <v>3869248.67</v>
          </cell>
        </row>
        <row r="26">
          <cell r="D26">
            <v>3554597.58</v>
          </cell>
        </row>
        <row r="27">
          <cell r="D27">
            <v>738719.84</v>
          </cell>
        </row>
        <row r="28">
          <cell r="D28">
            <v>0</v>
          </cell>
        </row>
        <row r="29">
          <cell r="D29">
            <v>2815877.74</v>
          </cell>
        </row>
        <row r="30">
          <cell r="D30">
            <v>84981.82</v>
          </cell>
        </row>
        <row r="31">
          <cell r="D31">
            <v>219669.27</v>
          </cell>
        </row>
        <row r="32">
          <cell r="D32">
            <v>10000</v>
          </cell>
        </row>
        <row r="33">
          <cell r="D33">
            <v>3869248.67</v>
          </cell>
        </row>
        <row r="39">
          <cell r="C39">
            <v>3309248.67</v>
          </cell>
        </row>
        <row r="40">
          <cell r="C40">
            <v>560000</v>
          </cell>
        </row>
      </sheetData>
      <sheetData sheetId="6">
        <row r="6">
          <cell r="A6" t="str">
            <v>Presidência</v>
          </cell>
          <cell r="D6" t="str">
            <v>Articulação Institucional e fomento de parcerias estratégicas.</v>
          </cell>
          <cell r="E6" t="str">
            <v>Prover recursos humanos e materiais para articular parcerias e estimular práticas voltadas a valorização e fiscalização profissional</v>
          </cell>
          <cell r="F6" t="str">
            <v>Assegurar a eficácia no relacionamento e comunicação com a sociedade</v>
          </cell>
          <cell r="G6">
            <v>0</v>
          </cell>
          <cell r="H6" t="str">
            <v>Fortalecimento e sedimentação da missão e visão do sistema CAU em face da sociedade, profissionais, instituições públicas e privadas.</v>
          </cell>
          <cell r="J6">
            <v>161246.01999999999</v>
          </cell>
        </row>
        <row r="7">
          <cell r="A7" t="str">
            <v>Direção Geral</v>
          </cell>
          <cell r="D7" t="str">
            <v>Manutenção Institucional</v>
          </cell>
          <cell r="E7" t="str">
            <v>Prover  a estruturação, seja por meio de recursos humanos, equipamentos,  materiais e tecnologia  para execução das atividades das diversas unidades e comissões regimentais e não regimentais do CAU/BA</v>
          </cell>
          <cell r="F7" t="str">
            <v>Construir cultura organizacional adequada à estratégia</v>
          </cell>
          <cell r="H7" t="str">
            <v>Manter a continuidade dos serviços e atividades do CAU/BA; Assegurar o bom funcionamento, manter a organização e promover a estruturação necessária para garantia da eficácia dos serviços, desde o atendimento, fomento à valorização profissional e fiscalização.</v>
          </cell>
          <cell r="J7">
            <v>642221.98</v>
          </cell>
        </row>
        <row r="8">
          <cell r="A8" t="str">
            <v>Gerência Técnica</v>
          </cell>
          <cell r="D8" t="str">
            <v>Orientação, esclarecimento e atendimento de demandas de profissionais e empresas</v>
          </cell>
          <cell r="E8" t="str">
            <v xml:space="preserve">Orientar, disciplinar e promover o exercício qualificado da Arquitetura e Urbanismo </v>
          </cell>
          <cell r="F8" t="str">
            <v>Assegurar a eficácia no atendimento e no relacionamento com os Arquitetos e Urbanistas e a Sociedade</v>
          </cell>
          <cell r="H8" t="str">
            <v xml:space="preserve">Melhorar quantitativamente e qualitativamente o atendimento prestado aos profissionais e empresas </v>
          </cell>
          <cell r="J8">
            <v>218623.73</v>
          </cell>
        </row>
        <row r="9">
          <cell r="A9" t="str">
            <v>Gerência de Operações</v>
          </cell>
          <cell r="D9" t="str">
            <v>Operacionalização dos processos éticos e de multa/fiscalização</v>
          </cell>
          <cell r="E9" t="str">
            <v>Prover recursos humanos e materiais para operacionalizar, planejar e identificar o segmento técnico fiscalizável  e no âmbito do Estado da Bahia, além de prover a estruturação dos processos éticos.</v>
          </cell>
          <cell r="F9" t="str">
            <v>Promover o exercício ético e qualificado da profissão</v>
          </cell>
          <cell r="H9" t="str">
            <v>Contribuir para a maximização das ações de fiscalização com utilização de mecanismos inovadores para sua efetivação; Contribuir para a maximização das ações disciplinares éticas.</v>
          </cell>
          <cell r="J9">
            <v>51158.96</v>
          </cell>
        </row>
        <row r="10">
          <cell r="A10" t="str">
            <v>Gerência Adm. Financeira</v>
          </cell>
          <cell r="D10" t="str">
            <v>Manutenção Administrativa financeira</v>
          </cell>
          <cell r="E10" t="str">
            <v>Prover recursos humanos e materiais, operacionalizar e planejar a continuidade das ações administrativas e financeiras do CAU/BA, zelando pelo equilíbrio das contas e da contratação mais vantajosa para o Conselho.</v>
          </cell>
          <cell r="F10" t="str">
            <v>Assegurar a sustentabilidade financeira</v>
          </cell>
          <cell r="H10" t="str">
            <v>Melhoria no gerenciamento do fluxo de pagamentos e contratações, com vistas a estruturar rotinas eficazes de gestão.</v>
          </cell>
          <cell r="J10">
            <v>426889.57</v>
          </cell>
        </row>
        <row r="11">
          <cell r="A11" t="str">
            <v>Assessoria Jurídica</v>
          </cell>
          <cell r="D11" t="str">
            <v>Consultoria e Assessoria Jurídica</v>
          </cell>
          <cell r="E11" t="str">
            <v>Prover recursos humanos e materiais para estruturar, organizar e manter em funcionamento a Assessoria Jurídica do CAU-BA.</v>
          </cell>
          <cell r="F11" t="str">
            <v>Aprimorar e inovar os processos e as ações</v>
          </cell>
          <cell r="H11" t="str">
            <v>Elevar o conhecimento dos colaboradores em normativos aplicáveis a autarquia CAU/BA, compartilhando informações e procedimentos</v>
          </cell>
          <cell r="J11">
            <v>182877.17</v>
          </cell>
        </row>
        <row r="12">
          <cell r="A12" t="str">
            <v>Comissão de Ética</v>
          </cell>
          <cell r="E12" t="str">
            <v>Prover recursos humanos e materiais visando o processamento das demandas ético-disciplinares</v>
          </cell>
          <cell r="F12" t="str">
            <v>Promover o exercício ético e qualificado da profissão</v>
          </cell>
          <cell r="H12" t="str">
            <v>Contribuir para a otimização e agilização dos processos administrativos ético-disciplinares no âmbito do CAU/BA</v>
          </cell>
          <cell r="J12">
            <v>109600.07</v>
          </cell>
        </row>
        <row r="13">
          <cell r="A13" t="str">
            <v>Comissão de Atos Administrativos</v>
          </cell>
          <cell r="D13" t="str">
            <v>Assessoramento organizacional-institucional</v>
          </cell>
          <cell r="E13" t="str">
            <v>Prover recursos humanos e materiais visando a estruturação e organização dos normativos do CAU/BA.</v>
          </cell>
          <cell r="F13" t="str">
            <v>Aprimorar e inovar os processos e as ações</v>
          </cell>
          <cell r="H13" t="str">
            <v>Contribuir para a otimização e agilização dos procedimentos operacionais e administrativos no âmbito do CAU/BA.</v>
          </cell>
          <cell r="J13">
            <v>10000</v>
          </cell>
        </row>
        <row r="14">
          <cell r="A14" t="str">
            <v>Comissão de Exercício Profissional e Fiscalização</v>
          </cell>
          <cell r="D14" t="str">
            <v>Operacionalização da Fiscalização e fomento da valorização profissional</v>
          </cell>
          <cell r="E14" t="str">
            <v>Prover recursos humanos e materiais visando a estruturação e organização das ações de valorização profissional e de fiscalização.</v>
          </cell>
          <cell r="F14" t="str">
            <v>Tornar a fiscalização um vetor de melhoria do exercício da Arquitetura e Urbanismo</v>
          </cell>
          <cell r="H14" t="str">
            <v>Contribuir para a efetivação da fiscalização, mediante análise comparativa de dados, cumprimento de diligências, participação da sociedade, com vistas a assegurar a melhoria do exercício profissional do Arquiteto e Urbanista.</v>
          </cell>
          <cell r="J14">
            <v>20000</v>
          </cell>
        </row>
        <row r="15">
          <cell r="A15" t="str">
            <v>Comissão de Planejamento e Finanças</v>
          </cell>
          <cell r="D15" t="str">
            <v>Operacionalização, Planejamento e Controle do CAU</v>
          </cell>
          <cell r="E15" t="str">
            <v>Prover recursos humanos e materiais visando a estruturação e organização do planejamento e de controle do CAU/BA</v>
          </cell>
          <cell r="F15" t="str">
            <v>Assegurar a sustentabilidade financeira</v>
          </cell>
          <cell r="H15" t="str">
            <v>Contribuir para a otimização e agilização dos procedimentos de planejamento e de controle no âmbito do CAU/BA</v>
          </cell>
          <cell r="J15">
            <v>17559.490000000002</v>
          </cell>
        </row>
        <row r="16">
          <cell r="A16" t="str">
            <v>Comissão de Ensino</v>
          </cell>
          <cell r="D16" t="str">
            <v>Fomento ao aperfeiçoamento e à formação profissional</v>
          </cell>
          <cell r="E16" t="str">
            <v>Prover recursos humanos e materiais visando a estruturação e organização da educação continuada e de formação profissional no âmbito do CAU/BA.</v>
          </cell>
          <cell r="F16" t="str">
            <v>Influenciar as diretrizes do ensino de Arquitetura e Urbanismo e sua formação continuada</v>
          </cell>
          <cell r="H16" t="str">
            <v>Contribuir para a otimização e agilização dos procedimentos internos no âmbito do CAU/BA vinculados ao ensino e formação.</v>
          </cell>
          <cell r="J16">
            <v>36000</v>
          </cell>
        </row>
        <row r="17">
          <cell r="A17" t="str">
            <v>Comissão Especial de Política Profissional</v>
          </cell>
          <cell r="D17" t="str">
            <v>Fomento a ações que buscam promover melhorias da prática profissional</v>
          </cell>
          <cell r="E17" t="str">
            <v>Prover recursos técnicos visando a estruturação ao empreendedorismo dos arquitetos e urbanistas</v>
          </cell>
          <cell r="F17" t="str">
            <v>Aprimorar e inovar os processos e as ações</v>
          </cell>
          <cell r="H17" t="str">
            <v>Contribuir para a disseminação da cultura empreendedora e organização da atividade profissional sob a perspectiva dos negócios</v>
          </cell>
          <cell r="J17">
            <v>5000</v>
          </cell>
        </row>
        <row r="18">
          <cell r="A18" t="str">
            <v>Comissão Especial Política Urbana</v>
          </cell>
          <cell r="D18" t="str">
            <v>Fomento a ações que buscam promover melhorias da política urbana estadual</v>
          </cell>
          <cell r="E18" t="str">
            <v>Prover recursos técnicos visando opinar sobre matérias com impacto urbanista</v>
          </cell>
          <cell r="F18" t="str">
            <v>Garantir a participação dos Arquitetos e Urbanistas no planejamento territorial e na gestão urbana</v>
          </cell>
          <cell r="H18" t="str">
            <v>Contribuir para a inserção da arquitetura nos planos gerais e parciais de urbanização ou reurbanização das cidades do estado da Bahia</v>
          </cell>
          <cell r="J18">
            <v>5000</v>
          </cell>
        </row>
        <row r="19">
          <cell r="A19" t="str">
            <v>Plenária</v>
          </cell>
          <cell r="D19" t="str">
            <v>Operacionalização das reuniões institucionais regimentais</v>
          </cell>
          <cell r="E19" t="str">
            <v>Intercambiar informações e atualizar as diretrizes de atuação no âmbito Estadual</v>
          </cell>
          <cell r="F19" t="str">
            <v>Estimular a produção da Arquitetura e Urbanismo como política de Estado</v>
          </cell>
          <cell r="H19" t="str">
            <v>Prover recursos humanos e materiais visando a estruturação e organização das ações do Plenário do âmbito do CAU/BA</v>
          </cell>
          <cell r="J19">
            <v>80000</v>
          </cell>
        </row>
        <row r="20">
          <cell r="A20" t="str">
            <v>Plenária</v>
          </cell>
          <cell r="D20" t="str">
            <v>Dia do Arquiteto</v>
          </cell>
          <cell r="E20" t="str">
            <v>Promover evento que fomente a dignificação da Arquitetura por meio do intercâmbio de informações técnico-temático</v>
          </cell>
          <cell r="F20" t="str">
            <v>Assegurar a eficácia no relacionamento e comunicação com a sociedade</v>
          </cell>
          <cell r="H20" t="str">
            <v>Intensificar e aproximar O CAU/BA com seu público-alvo e a sociedade em geral, além de aprimorar a atuação profissional, por meio do fomento ao aperfeiçoamento profissional.</v>
          </cell>
          <cell r="J20">
            <v>40000</v>
          </cell>
        </row>
        <row r="21">
          <cell r="A21" t="str">
            <v>Direção Geral</v>
          </cell>
          <cell r="D21" t="str">
            <v>APC - Aperfeiçoamento Profissional Continuado</v>
          </cell>
          <cell r="E21" t="str">
            <v>Construir parcerias e identificar temáticas que contribuam para a maturação do conteúdo de formação profissional</v>
          </cell>
          <cell r="F21" t="str">
            <v>Assegurar a eficácia no atendimento e no relacionamento com os Arquitetos e Urbanistas e a Sociedade</v>
          </cell>
          <cell r="H21" t="str">
            <v>Dotar o CAU/BA de rotina continuada de fomento e de valorização profissional</v>
          </cell>
          <cell r="J21">
            <v>80000</v>
          </cell>
        </row>
        <row r="22">
          <cell r="A22" t="str">
            <v>Plenária</v>
          </cell>
          <cell r="D22" t="str">
            <v>Patrocínio</v>
          </cell>
          <cell r="E22" t="str">
            <v>Intensificar parcerias voltadas ao desenvolvimento da Arquitetura e Urbanismo</v>
          </cell>
          <cell r="F22" t="str">
            <v>Estimular o conhecimento, o uso de processos criativos e a difusão das melhores práticas em Arquitetura e Urbanismo</v>
          </cell>
          <cell r="H22" t="str">
            <v>Estruturar e solidificar parcerias estratégicas</v>
          </cell>
          <cell r="J22">
            <v>40000</v>
          </cell>
        </row>
        <row r="23">
          <cell r="A23" t="str">
            <v>Gerência Adm. Financeira</v>
          </cell>
          <cell r="D23" t="str">
            <v>Aporte ao Fundo de Apoio</v>
          </cell>
          <cell r="E23" t="str">
            <v>Contribuir para estruturação e distribuição de recursos vinculadas a constituição de Fundo de Apoio.</v>
          </cell>
          <cell r="F23" t="str">
            <v>Assegurar a sustentabilidade financeira</v>
          </cell>
          <cell r="H23" t="str">
            <v>Participação na estruturação de organização sistêmica nacional</v>
          </cell>
          <cell r="J23">
            <v>84981.82</v>
          </cell>
        </row>
        <row r="24">
          <cell r="A24" t="str">
            <v>Plenária</v>
          </cell>
          <cell r="D24" t="str">
            <v>Comunicação Institucional</v>
          </cell>
          <cell r="E24" t="str">
            <v>Prover recursos humanos e materiais para promover e disseminar a  missão, visão,  consolidando a marca CAU/BA</v>
          </cell>
          <cell r="F24" t="str">
            <v>Assegurar a eficácia no relacionamento e comunicação com a sociedade</v>
          </cell>
          <cell r="H24" t="str">
            <v>Solidificar a imagem, a marca e a missão do CAU/BA enquanto instituição que busca promover a Arquitetura para todos, em defesa da sociedade</v>
          </cell>
          <cell r="J24">
            <v>118000</v>
          </cell>
        </row>
        <row r="25">
          <cell r="A25" t="str">
            <v>Direção Geral</v>
          </cell>
          <cell r="D25" t="str">
            <v>Programa de Capacitação dos Colaboradores</v>
          </cell>
          <cell r="E25" t="str">
            <v>Direcionar o profissional a um processo de educação, reciclagem e alteração de comportamento</v>
          </cell>
          <cell r="F25" t="str">
            <v>Desenvolver competências de dirigentes e colaboradores</v>
          </cell>
          <cell r="H25" t="str">
            <v>Dotar o CAU/BA de rotina continuada de fomento e de valorização dos colaboradores</v>
          </cell>
          <cell r="J25">
            <v>31000</v>
          </cell>
        </row>
        <row r="26">
          <cell r="A26" t="str">
            <v>Plenária</v>
          </cell>
          <cell r="D26" t="str">
            <v>Programa de Assistência Técnica</v>
          </cell>
          <cell r="E26" t="str">
            <v>Disseminar e sensibilizar a assistência técnica pública e gratuita para o projeto e a construção de habitação de interesse social, como parte integrante do direito social à moradia previsto.</v>
          </cell>
          <cell r="F26" t="str">
            <v>Fomentar o acesso da sociedade à Arquitetura e Urbanismo</v>
          </cell>
          <cell r="H26" t="str">
            <v>Valorização e disseminação da cultura da Assistência Técnica</v>
          </cell>
          <cell r="J26">
            <v>88719.84</v>
          </cell>
        </row>
        <row r="27">
          <cell r="A27" t="str">
            <v>Gerência de Atendimento</v>
          </cell>
          <cell r="D27" t="str">
            <v>Atendimento da Sociedade e arquitetos e urbanistas</v>
          </cell>
          <cell r="E27" t="str">
            <v>Aperfeiçoar o atendimento aos públicos interno e externo e  aprimorar o relacionamento com a sociedade</v>
          </cell>
          <cell r="F27" t="str">
            <v>Assegurar a eficácia no atendimento e no relacionamento com os Arquitetos e Urbanistas e a Sociedade</v>
          </cell>
          <cell r="H27" t="str">
            <v>Aperfeiçoar a qualidade do atendimento prestado aos públicos interno e externo.</v>
          </cell>
          <cell r="J27">
            <v>279513.93</v>
          </cell>
        </row>
        <row r="28">
          <cell r="A28" t="str">
            <v>Plenária</v>
          </cell>
          <cell r="D28" t="str">
            <v>Reforma sede CAU/BA</v>
          </cell>
          <cell r="E28" t="str">
            <v>Reestruturação dos espaços e atividades</v>
          </cell>
          <cell r="F28" t="str">
            <v>Ter sistemas de informação e infraestrutura que viabilizem a gestão e o atendimento dos arquitetos e urbanistas e a sociedade</v>
          </cell>
          <cell r="H28" t="str">
            <v>O redimensionamento dos espaços contribuirá para melhoria das atividades de fiscalização, de registro, cadastro, atendimento e funcionamento do CAU/BA</v>
          </cell>
          <cell r="J28">
            <v>400000</v>
          </cell>
        </row>
        <row r="29">
          <cell r="A29" t="str">
            <v>Plenária</v>
          </cell>
          <cell r="D29" t="str">
            <v>Aquisição de Equipamentos</v>
          </cell>
          <cell r="E29" t="str">
            <v>Modernizar parque computacional do CAU/BA</v>
          </cell>
          <cell r="F29" t="str">
            <v>Ter sistemas de informação e infraestrutura que viabilizem a gestão e o atendimento dos arquitetos e urbanistas e a sociedade</v>
          </cell>
          <cell r="H29" t="str">
            <v>Otimização e agilização dos procedimentos internos e redução no tempo de atendimento ao profissional Arquiteto e Urbanista</v>
          </cell>
          <cell r="J29">
            <v>160000</v>
          </cell>
        </row>
        <row r="30">
          <cell r="A30" t="str">
            <v>Gerência Adm. Financeira</v>
          </cell>
          <cell r="D30" t="str">
            <v>CSC -Fiscalização</v>
          </cell>
          <cell r="E30" t="str">
            <v>Dotar a Gerência de Fiscalização de sistemas que facilitem a gestão e a tomada de decisão no Plano de Fiscalização do CAU/BA</v>
          </cell>
          <cell r="F30" t="str">
            <v>Tornar a fiscalização um vetor de melhoria do exercício da Arquitetura e Urbanismo</v>
          </cell>
          <cell r="H30" t="str">
            <v>Otimização e agilização dos procedimentos internos de fiscalização</v>
          </cell>
          <cell r="J30">
            <v>195944.99</v>
          </cell>
        </row>
        <row r="31">
          <cell r="A31" t="str">
            <v>Gerência Adm. Financeira</v>
          </cell>
          <cell r="D31" t="str">
            <v>CSC- Atendimento</v>
          </cell>
          <cell r="E31" t="str">
            <v>Dotar a Gerência de Atendimento de sistemas que facilitem e agilizem o atendimento aos profissionais</v>
          </cell>
          <cell r="F31" t="str">
            <v>Assegurar a eficácia no atendimento e no relacionamento com os Arquitetos e Urbanistas e a Sociedade</v>
          </cell>
          <cell r="H31" t="str">
            <v xml:space="preserve">Melhoria na qualidade e na redução do tempo de atendimento </v>
          </cell>
          <cell r="J31">
            <v>23724.28</v>
          </cell>
        </row>
        <row r="32">
          <cell r="A32" t="str">
            <v>Gerência de Fiscalização</v>
          </cell>
          <cell r="D32" t="str">
            <v>Plano de Fiscalização</v>
          </cell>
          <cell r="E32" t="str">
            <v>Implementar o Plano de Fiscalização Profissional no âmbito do Estado da Bahia</v>
          </cell>
          <cell r="F32" t="str">
            <v>Tornar a fiscalização um vetor de melhoria do exercício da Arquitetura e Urbanismo</v>
          </cell>
          <cell r="H32" t="str">
            <v>Manter a continuidade Operacional do Plano de Fiscalização, visando maximização de suas ações.</v>
          </cell>
          <cell r="J32">
            <v>301186.82</v>
          </cell>
        </row>
        <row r="33">
          <cell r="A33" t="str">
            <v>Plenária</v>
          </cell>
          <cell r="D33" t="str">
            <v>Reserva de Contingência</v>
          </cell>
          <cell r="E33" t="str">
            <v>Suportar eventuais ações estratégicas não contempladas no PA</v>
          </cell>
          <cell r="F33" t="str">
            <v>Assegurar a sustentabilidade financeira</v>
          </cell>
          <cell r="H33" t="str">
            <v>Possibilitar a aplicação de recursos em ações não contempladas no PA</v>
          </cell>
          <cell r="J33">
            <v>10000</v>
          </cell>
        </row>
        <row r="34">
          <cell r="A34" t="str">
            <v>Presidência</v>
          </cell>
          <cell r="D34" t="str">
            <v>Aquisição sede CAU/BA</v>
          </cell>
          <cell r="E34" t="str">
            <v>Melhoria das instalações e das distribuições das unidades internas e atividades funcionais</v>
          </cell>
          <cell r="F34" t="str">
            <v>Ter sistemas de informação e infraestrutura que viabilizem a gestão e o atendimento dos arquitetos e urbanistas e a sociedade</v>
          </cell>
          <cell r="H34" t="str">
            <v>O redimensionamento dos espaços contribuirá para melhoria das atividades de fiscalização, de registro, cadastro, atendimento e funcionamento do CAU/BA</v>
          </cell>
          <cell r="J34">
            <v>0</v>
          </cell>
        </row>
        <row r="36">
          <cell r="A36" t="str">
            <v>Plenária</v>
          </cell>
          <cell r="D36" t="str">
            <v>Consultoria Jurídica para enfrentar matéria tributária que alcança o exercício profissional referentes ao ISSQN</v>
          </cell>
          <cell r="E36" t="str">
            <v>Garantir que o profissional não seja onerado, sob a ótica tributária, diante as legislações de ISSQN dos municípios da Bahia</v>
          </cell>
          <cell r="F36" t="str">
            <v>Aprimorar e inovar os processos e as ações</v>
          </cell>
          <cell r="H36" t="str">
            <v>Assegurar a tributação no estabelecimento do prestador de serviço</v>
          </cell>
          <cell r="J36">
            <v>50000</v>
          </cell>
        </row>
      </sheetData>
      <sheetData sheetId="7"/>
      <sheetData sheetId="8">
        <row r="5">
          <cell r="E5">
            <v>3268905.76</v>
          </cell>
          <cell r="L5">
            <v>1433305.49</v>
          </cell>
        </row>
        <row r="6">
          <cell r="E6">
            <v>0</v>
          </cell>
          <cell r="L6">
            <v>150408</v>
          </cell>
        </row>
        <row r="7">
          <cell r="E7">
            <v>3268905.76</v>
          </cell>
          <cell r="L7">
            <v>3309248.67</v>
          </cell>
        </row>
        <row r="8">
          <cell r="E8">
            <v>84981.82</v>
          </cell>
        </row>
        <row r="9">
          <cell r="E9">
            <v>3183923.94</v>
          </cell>
        </row>
        <row r="12">
          <cell r="E12">
            <v>517131.81</v>
          </cell>
          <cell r="L12">
            <v>1282897.49</v>
          </cell>
        </row>
        <row r="13">
          <cell r="E13">
            <v>0.16241964938396111</v>
          </cell>
          <cell r="L13">
            <v>0.3876703197405833</v>
          </cell>
        </row>
        <row r="14">
          <cell r="E14">
            <v>601861.93999999994</v>
          </cell>
          <cell r="L14">
            <v>31000</v>
          </cell>
        </row>
        <row r="15">
          <cell r="E15">
            <v>0.18903150682676167</v>
          </cell>
          <cell r="L15">
            <v>2.1628327119573094E-2</v>
          </cell>
        </row>
        <row r="16">
          <cell r="E16">
            <v>319246.02</v>
          </cell>
        </row>
        <row r="17">
          <cell r="E17">
            <v>0.10026810502263443</v>
          </cell>
        </row>
        <row r="18">
          <cell r="E18">
            <v>40000</v>
          </cell>
        </row>
        <row r="19">
          <cell r="E19">
            <v>1.2563114180422287E-2</v>
          </cell>
        </row>
        <row r="20">
          <cell r="E20">
            <v>798620.97</v>
          </cell>
        </row>
        <row r="21">
          <cell r="E21">
            <v>0.25082916082474005</v>
          </cell>
        </row>
        <row r="22">
          <cell r="E22">
            <v>88719.84</v>
          </cell>
        </row>
        <row r="23">
          <cell r="E23">
            <v>2.7864936999719911E-2</v>
          </cell>
        </row>
        <row r="24">
          <cell r="E24">
            <v>10000</v>
          </cell>
        </row>
        <row r="25">
          <cell r="E25">
            <v>3.1407785451055717E-3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aubr.gov.br/deliberacao-plenaria-dpobr-0097-08-a/" TargetMode="External"/><Relationship Id="rId2" Type="http://schemas.openxmlformats.org/officeDocument/2006/relationships/hyperlink" Target="https://transparencia.caubr.gov.br/resolucao193/" TargetMode="External"/><Relationship Id="rId1" Type="http://schemas.openxmlformats.org/officeDocument/2006/relationships/hyperlink" Target="https://transparencia.caubr.gov.br/resolucao200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transparencia.caubr.gov.br/deliberacaoplenaria-dpobr-0084-03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="30" zoomScaleNormal="30" workbookViewId="0">
      <selection activeCell="B25" sqref="B25"/>
    </sheetView>
  </sheetViews>
  <sheetFormatPr defaultRowHeight="64.5" x14ac:dyDescent="0.95"/>
  <cols>
    <col min="1" max="1" width="9.140625" style="74"/>
    <col min="2" max="2" width="94.85546875" style="74" bestFit="1" customWidth="1"/>
    <col min="3" max="4" width="9.140625" style="74"/>
    <col min="5" max="5" width="39.5703125" style="74" customWidth="1"/>
    <col min="6" max="6" width="59.5703125" style="74" customWidth="1"/>
    <col min="7" max="13" width="9.140625" style="74"/>
    <col min="14" max="14" width="97.28515625" style="74" customWidth="1"/>
    <col min="15" max="16" width="9.140625" style="74"/>
    <col min="17" max="17" width="132.85546875" style="76" bestFit="1" customWidth="1"/>
    <col min="18" max="16384" width="9.140625" style="74"/>
  </cols>
  <sheetData>
    <row r="1" spans="1:17" x14ac:dyDescent="0.95">
      <c r="A1" s="67"/>
      <c r="B1" s="68" t="s">
        <v>109</v>
      </c>
      <c r="C1" s="66"/>
      <c r="D1" s="66"/>
      <c r="E1" s="66"/>
      <c r="F1" s="126" t="s">
        <v>74</v>
      </c>
      <c r="G1" s="66"/>
      <c r="H1" s="67"/>
      <c r="I1" s="67"/>
      <c r="N1" s="127" t="s">
        <v>183</v>
      </c>
      <c r="Q1" s="76" t="s">
        <v>36</v>
      </c>
    </row>
    <row r="2" spans="1:17" x14ac:dyDescent="0.95">
      <c r="A2" s="67"/>
      <c r="B2" s="68" t="s">
        <v>117</v>
      </c>
      <c r="C2" s="66"/>
      <c r="D2" s="66"/>
      <c r="E2" s="66"/>
      <c r="F2" s="126" t="s">
        <v>48</v>
      </c>
      <c r="G2" s="66"/>
      <c r="H2" s="67"/>
      <c r="I2" s="67"/>
      <c r="N2" s="127" t="s">
        <v>184</v>
      </c>
      <c r="Q2" s="76" t="s">
        <v>134</v>
      </c>
    </row>
    <row r="3" spans="1:17" x14ac:dyDescent="0.95">
      <c r="A3" s="67"/>
      <c r="B3" s="68" t="s">
        <v>118</v>
      </c>
      <c r="C3" s="66"/>
      <c r="D3" s="66"/>
      <c r="E3" s="66"/>
      <c r="F3" s="312" t="s">
        <v>43</v>
      </c>
      <c r="G3" s="66"/>
      <c r="H3" s="67"/>
      <c r="I3" s="67"/>
      <c r="N3" s="127" t="s">
        <v>137</v>
      </c>
      <c r="Q3" s="76" t="s">
        <v>32</v>
      </c>
    </row>
    <row r="4" spans="1:17" x14ac:dyDescent="0.95">
      <c r="A4" s="67"/>
      <c r="B4" s="68" t="s">
        <v>119</v>
      </c>
      <c r="C4" s="66"/>
      <c r="D4" s="66"/>
      <c r="E4" s="66"/>
      <c r="F4" s="312"/>
      <c r="G4" s="66"/>
      <c r="H4" s="67"/>
      <c r="I4" s="67"/>
      <c r="N4" s="127" t="s">
        <v>138</v>
      </c>
      <c r="Q4" s="76" t="s">
        <v>35</v>
      </c>
    </row>
    <row r="5" spans="1:17" x14ac:dyDescent="0.95">
      <c r="A5" s="67"/>
      <c r="B5" s="68" t="s">
        <v>110</v>
      </c>
      <c r="C5" s="66"/>
      <c r="D5" s="66"/>
      <c r="E5" s="66"/>
      <c r="F5" s="128" t="s">
        <v>174</v>
      </c>
      <c r="G5" s="66"/>
      <c r="H5" s="67"/>
      <c r="I5" s="67"/>
      <c r="N5" s="73" t="s">
        <v>140</v>
      </c>
      <c r="Q5" s="76" t="s">
        <v>38</v>
      </c>
    </row>
    <row r="6" spans="1:17" x14ac:dyDescent="0.95">
      <c r="A6" s="67"/>
      <c r="B6" s="68" t="s">
        <v>120</v>
      </c>
      <c r="C6" s="66"/>
      <c r="D6" s="66"/>
      <c r="E6" s="66"/>
      <c r="F6" s="128" t="s">
        <v>175</v>
      </c>
      <c r="G6" s="66"/>
      <c r="H6" s="67"/>
      <c r="I6" s="67"/>
      <c r="N6" s="73" t="s">
        <v>141</v>
      </c>
      <c r="Q6" s="76" t="s">
        <v>37</v>
      </c>
    </row>
    <row r="7" spans="1:17" x14ac:dyDescent="0.95">
      <c r="A7" s="67"/>
      <c r="B7" s="68" t="s">
        <v>129</v>
      </c>
      <c r="C7" s="66"/>
      <c r="D7" s="66"/>
      <c r="E7" s="66"/>
      <c r="F7" s="128" t="s">
        <v>176</v>
      </c>
      <c r="G7" s="66"/>
      <c r="H7" s="67"/>
      <c r="I7" s="67"/>
      <c r="N7" s="73" t="s">
        <v>143</v>
      </c>
      <c r="Q7" s="76" t="s">
        <v>145</v>
      </c>
    </row>
    <row r="8" spans="1:17" x14ac:dyDescent="0.95">
      <c r="A8" s="67"/>
      <c r="B8" s="68" t="s">
        <v>111</v>
      </c>
      <c r="C8" s="66"/>
      <c r="D8" s="66"/>
      <c r="E8" s="66"/>
      <c r="F8" s="128" t="s">
        <v>177</v>
      </c>
      <c r="G8" s="66"/>
      <c r="H8" s="67"/>
      <c r="I8" s="67"/>
      <c r="N8" s="127" t="s">
        <v>146</v>
      </c>
      <c r="Q8" s="76" t="s">
        <v>29</v>
      </c>
    </row>
    <row r="9" spans="1:17" x14ac:dyDescent="0.95">
      <c r="A9" s="67"/>
      <c r="B9" s="68" t="s">
        <v>121</v>
      </c>
      <c r="C9" s="66"/>
      <c r="D9" s="66"/>
      <c r="E9" s="66"/>
      <c r="F9" s="128" t="s">
        <v>178</v>
      </c>
      <c r="G9" s="66"/>
      <c r="H9" s="67"/>
      <c r="I9" s="67"/>
      <c r="N9" s="127" t="s">
        <v>148</v>
      </c>
      <c r="Q9" s="76" t="s">
        <v>34</v>
      </c>
    </row>
    <row r="10" spans="1:17" x14ac:dyDescent="0.95">
      <c r="A10" s="67"/>
      <c r="B10" s="68" t="s">
        <v>112</v>
      </c>
      <c r="C10" s="66"/>
      <c r="D10" s="66"/>
      <c r="E10" s="66"/>
      <c r="F10" s="128" t="s">
        <v>187</v>
      </c>
      <c r="G10" s="66"/>
      <c r="H10" s="67"/>
      <c r="I10" s="67"/>
      <c r="N10" s="73" t="s">
        <v>150</v>
      </c>
      <c r="Q10" s="76" t="s">
        <v>186</v>
      </c>
    </row>
    <row r="11" spans="1:17" x14ac:dyDescent="0.95">
      <c r="A11" s="67"/>
      <c r="B11" s="68" t="s">
        <v>113</v>
      </c>
      <c r="C11" s="66"/>
      <c r="D11" s="66"/>
      <c r="E11" s="66"/>
      <c r="F11" s="129" t="s">
        <v>45</v>
      </c>
      <c r="G11" s="66"/>
      <c r="H11" s="67"/>
      <c r="I11" s="67"/>
      <c r="N11" s="127" t="s">
        <v>151</v>
      </c>
      <c r="Q11" s="76" t="s">
        <v>26</v>
      </c>
    </row>
    <row r="12" spans="1:17" x14ac:dyDescent="0.95">
      <c r="A12" s="67"/>
      <c r="B12" s="68" t="s">
        <v>122</v>
      </c>
      <c r="C12" s="66"/>
      <c r="D12" s="66"/>
      <c r="E12" s="66"/>
      <c r="F12" s="129" t="s">
        <v>2</v>
      </c>
      <c r="G12" s="66"/>
      <c r="H12" s="67"/>
      <c r="I12" s="67"/>
      <c r="N12" s="127" t="s">
        <v>153</v>
      </c>
      <c r="Q12" s="76" t="s">
        <v>155</v>
      </c>
    </row>
    <row r="13" spans="1:17" x14ac:dyDescent="0.95">
      <c r="A13" s="67"/>
      <c r="B13" s="68" t="s">
        <v>123</v>
      </c>
      <c r="C13" s="66"/>
      <c r="D13" s="66"/>
      <c r="E13" s="66"/>
      <c r="F13" s="66"/>
      <c r="G13" s="66"/>
      <c r="H13" s="67"/>
      <c r="I13" s="67"/>
      <c r="N13" s="73" t="s">
        <v>156</v>
      </c>
      <c r="Q13" s="76" t="s">
        <v>33</v>
      </c>
    </row>
    <row r="14" spans="1:17" x14ac:dyDescent="0.95">
      <c r="A14" s="67"/>
      <c r="B14" s="68" t="s">
        <v>114</v>
      </c>
      <c r="C14" s="66"/>
      <c r="D14" s="66"/>
      <c r="E14" s="66"/>
      <c r="F14" s="66"/>
      <c r="G14" s="66"/>
      <c r="H14" s="67"/>
      <c r="I14" s="67"/>
      <c r="N14" s="73" t="s">
        <v>158</v>
      </c>
      <c r="Q14" s="76" t="s">
        <v>39</v>
      </c>
    </row>
    <row r="15" spans="1:17" ht="75" customHeight="1" x14ac:dyDescent="0.95">
      <c r="A15" s="67"/>
      <c r="B15" s="68" t="s">
        <v>124</v>
      </c>
      <c r="C15" s="66"/>
      <c r="D15" s="66"/>
      <c r="E15" s="66"/>
      <c r="F15" s="66"/>
      <c r="G15" s="66"/>
      <c r="H15" s="67"/>
      <c r="I15" s="67"/>
      <c r="N15" s="127" t="s">
        <v>160</v>
      </c>
      <c r="Q15" s="76" t="s">
        <v>27</v>
      </c>
    </row>
    <row r="16" spans="1:17" x14ac:dyDescent="0.95">
      <c r="A16" s="67"/>
      <c r="B16" s="68" t="s">
        <v>115</v>
      </c>
      <c r="C16" s="66"/>
      <c r="D16" s="66"/>
      <c r="E16" s="66"/>
      <c r="F16" s="66"/>
      <c r="G16" s="66"/>
      <c r="H16" s="67"/>
      <c r="I16" s="67"/>
      <c r="N16" s="127" t="s">
        <v>162</v>
      </c>
      <c r="Q16" s="76" t="s">
        <v>185</v>
      </c>
    </row>
    <row r="17" spans="1:14" x14ac:dyDescent="0.95">
      <c r="A17" s="67"/>
      <c r="B17" s="68" t="s">
        <v>116</v>
      </c>
      <c r="C17" s="66"/>
      <c r="D17" s="66"/>
      <c r="E17" s="66"/>
      <c r="F17" s="66"/>
      <c r="G17" s="66"/>
      <c r="H17" s="67"/>
      <c r="I17" s="67"/>
      <c r="N17" s="127" t="s">
        <v>164</v>
      </c>
    </row>
    <row r="18" spans="1:14" x14ac:dyDescent="0.95">
      <c r="A18" s="67"/>
      <c r="C18" s="66"/>
      <c r="D18" s="66"/>
      <c r="E18" s="66"/>
      <c r="F18" s="66"/>
      <c r="G18" s="66"/>
      <c r="H18" s="67"/>
      <c r="I18" s="67"/>
      <c r="N18" s="73" t="s">
        <v>166</v>
      </c>
    </row>
    <row r="19" spans="1:14" x14ac:dyDescent="0.95">
      <c r="N19" s="73" t="s">
        <v>168</v>
      </c>
    </row>
    <row r="20" spans="1:14" x14ac:dyDescent="0.95">
      <c r="N20" s="73" t="s">
        <v>170</v>
      </c>
    </row>
    <row r="21" spans="1:14" x14ac:dyDescent="0.95">
      <c r="N21" s="73" t="s">
        <v>172</v>
      </c>
    </row>
  </sheetData>
  <mergeCells count="1">
    <mergeCell ref="F3:F4"/>
  </mergeCells>
  <pageMargins left="0.511811024" right="0.511811024" top="0.78740157499999996" bottom="0.78740157499999996" header="0.31496062000000002" footer="0.31496062000000002"/>
  <pageSetup paperSize="28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22"/>
  <sheetViews>
    <sheetView showGridLines="0" zoomScale="60" zoomScaleNormal="60" workbookViewId="0">
      <selection activeCell="H3" sqref="H3"/>
    </sheetView>
  </sheetViews>
  <sheetFormatPr defaultRowHeight="28.5" x14ac:dyDescent="0.45"/>
  <cols>
    <col min="1" max="1" width="44.5703125" style="185" customWidth="1"/>
    <col min="2" max="2" width="22.7109375" style="185" bestFit="1" customWidth="1"/>
    <col min="3" max="3" width="46" style="185" customWidth="1"/>
    <col min="4" max="4" width="66.7109375" style="185" customWidth="1"/>
    <col min="5" max="7" width="9.140625" style="185"/>
    <col min="8" max="8" width="68.7109375" style="185" bestFit="1" customWidth="1"/>
    <col min="9" max="16384" width="9.140625" style="185"/>
  </cols>
  <sheetData>
    <row r="1" spans="1:8" ht="97.5" customHeight="1" x14ac:dyDescent="0.45">
      <c r="A1" s="184" t="s">
        <v>130</v>
      </c>
      <c r="B1" s="184" t="s">
        <v>131</v>
      </c>
      <c r="C1" s="184" t="s">
        <v>132</v>
      </c>
      <c r="D1" s="184" t="s">
        <v>133</v>
      </c>
    </row>
    <row r="2" spans="1:8" ht="54.95" customHeight="1" x14ac:dyDescent="0.45">
      <c r="A2" s="608"/>
      <c r="B2" s="609"/>
      <c r="C2" s="186" t="s">
        <v>183</v>
      </c>
      <c r="D2" s="187"/>
    </row>
    <row r="3" spans="1:8" ht="183.75" customHeight="1" x14ac:dyDescent="0.45">
      <c r="A3" s="610" t="s">
        <v>134</v>
      </c>
      <c r="B3" s="188" t="s">
        <v>135</v>
      </c>
      <c r="C3" s="189" t="s">
        <v>184</v>
      </c>
      <c r="D3" s="189" t="s">
        <v>136</v>
      </c>
      <c r="H3" s="190" t="s">
        <v>376</v>
      </c>
    </row>
    <row r="4" spans="1:8" ht="183.75" customHeight="1" x14ac:dyDescent="0.45">
      <c r="A4" s="611"/>
      <c r="B4" s="188" t="s">
        <v>135</v>
      </c>
      <c r="C4" s="189" t="s">
        <v>377</v>
      </c>
      <c r="D4" s="189" t="s">
        <v>378</v>
      </c>
    </row>
    <row r="5" spans="1:8" ht="183.75" customHeight="1" x14ac:dyDescent="0.45">
      <c r="A5" s="612"/>
      <c r="B5" s="188" t="s">
        <v>135</v>
      </c>
      <c r="C5" s="189" t="s">
        <v>138</v>
      </c>
      <c r="D5" s="189" t="s">
        <v>139</v>
      </c>
    </row>
    <row r="6" spans="1:8" ht="183.75" customHeight="1" x14ac:dyDescent="0.45">
      <c r="A6" s="605" t="s">
        <v>32</v>
      </c>
      <c r="B6" s="191" t="s">
        <v>135</v>
      </c>
      <c r="C6" s="192" t="s">
        <v>140</v>
      </c>
      <c r="D6" s="192" t="s">
        <v>379</v>
      </c>
    </row>
    <row r="7" spans="1:8" ht="183.75" customHeight="1" x14ac:dyDescent="0.45">
      <c r="A7" s="606"/>
      <c r="B7" s="191" t="s">
        <v>135</v>
      </c>
      <c r="C7" s="192" t="s">
        <v>141</v>
      </c>
      <c r="D7" s="192" t="s">
        <v>142</v>
      </c>
    </row>
    <row r="8" spans="1:8" ht="183.75" customHeight="1" x14ac:dyDescent="0.45">
      <c r="A8" s="607"/>
      <c r="B8" s="191" t="s">
        <v>135</v>
      </c>
      <c r="C8" s="192" t="s">
        <v>143</v>
      </c>
      <c r="D8" s="192" t="s">
        <v>144</v>
      </c>
    </row>
    <row r="9" spans="1:8" ht="183.75" customHeight="1" x14ac:dyDescent="0.45">
      <c r="A9" s="602" t="s">
        <v>145</v>
      </c>
      <c r="B9" s="188" t="s">
        <v>135</v>
      </c>
      <c r="C9" s="189" t="s">
        <v>146</v>
      </c>
      <c r="D9" s="189" t="s">
        <v>147</v>
      </c>
    </row>
    <row r="10" spans="1:8" ht="183.75" customHeight="1" x14ac:dyDescent="0.45">
      <c r="A10" s="604"/>
      <c r="B10" s="188" t="s">
        <v>135</v>
      </c>
      <c r="C10" s="189" t="s">
        <v>148</v>
      </c>
      <c r="D10" s="189" t="s">
        <v>149</v>
      </c>
    </row>
    <row r="11" spans="1:8" ht="183.75" customHeight="1" x14ac:dyDescent="0.45">
      <c r="A11" s="193" t="s">
        <v>29</v>
      </c>
      <c r="B11" s="191" t="s">
        <v>135</v>
      </c>
      <c r="C11" s="192" t="s">
        <v>150</v>
      </c>
      <c r="D11" s="192" t="s">
        <v>380</v>
      </c>
    </row>
    <row r="12" spans="1:8" ht="183.75" customHeight="1" x14ac:dyDescent="0.45">
      <c r="A12" s="610" t="s">
        <v>34</v>
      </c>
      <c r="B12" s="188" t="s">
        <v>135</v>
      </c>
      <c r="C12" s="189" t="s">
        <v>151</v>
      </c>
      <c r="D12" s="189" t="s">
        <v>152</v>
      </c>
    </row>
    <row r="13" spans="1:8" ht="183.75" customHeight="1" x14ac:dyDescent="0.45">
      <c r="A13" s="612"/>
      <c r="B13" s="188" t="s">
        <v>135</v>
      </c>
      <c r="C13" s="189" t="s">
        <v>153</v>
      </c>
      <c r="D13" s="189" t="s">
        <v>154</v>
      </c>
    </row>
    <row r="14" spans="1:8" ht="183.75" customHeight="1" x14ac:dyDescent="0.45">
      <c r="A14" s="613" t="s">
        <v>155</v>
      </c>
      <c r="B14" s="191" t="s">
        <v>135</v>
      </c>
      <c r="C14" s="192" t="s">
        <v>156</v>
      </c>
      <c r="D14" s="192" t="s">
        <v>157</v>
      </c>
    </row>
    <row r="15" spans="1:8" ht="183.75" customHeight="1" x14ac:dyDescent="0.45">
      <c r="A15" s="614"/>
      <c r="B15" s="191" t="s">
        <v>135</v>
      </c>
      <c r="C15" s="192" t="s">
        <v>158</v>
      </c>
      <c r="D15" s="192" t="s">
        <v>159</v>
      </c>
    </row>
    <row r="16" spans="1:8" ht="183.75" customHeight="1" x14ac:dyDescent="0.45">
      <c r="A16" s="602" t="s">
        <v>33</v>
      </c>
      <c r="B16" s="188" t="s">
        <v>135</v>
      </c>
      <c r="C16" s="189" t="s">
        <v>160</v>
      </c>
      <c r="D16" s="189" t="s">
        <v>161</v>
      </c>
    </row>
    <row r="17" spans="1:4" ht="183.75" customHeight="1" x14ac:dyDescent="0.45">
      <c r="A17" s="603"/>
      <c r="B17" s="188" t="s">
        <v>135</v>
      </c>
      <c r="C17" s="189" t="s">
        <v>162</v>
      </c>
      <c r="D17" s="189" t="s">
        <v>163</v>
      </c>
    </row>
    <row r="18" spans="1:4" ht="183.75" customHeight="1" x14ac:dyDescent="0.45">
      <c r="A18" s="604"/>
      <c r="B18" s="188" t="s">
        <v>135</v>
      </c>
      <c r="C18" s="189" t="s">
        <v>164</v>
      </c>
      <c r="D18" s="189" t="s">
        <v>165</v>
      </c>
    </row>
    <row r="19" spans="1:4" ht="183.75" customHeight="1" x14ac:dyDescent="0.45">
      <c r="A19" s="605" t="s">
        <v>27</v>
      </c>
      <c r="B19" s="191" t="s">
        <v>135</v>
      </c>
      <c r="C19" s="192" t="s">
        <v>166</v>
      </c>
      <c r="D19" s="192" t="s">
        <v>167</v>
      </c>
    </row>
    <row r="20" spans="1:4" ht="183.75" customHeight="1" x14ac:dyDescent="0.45">
      <c r="A20" s="606"/>
      <c r="B20" s="191" t="s">
        <v>135</v>
      </c>
      <c r="C20" s="192" t="s">
        <v>168</v>
      </c>
      <c r="D20" s="192" t="s">
        <v>169</v>
      </c>
    </row>
    <row r="21" spans="1:4" ht="183.75" customHeight="1" x14ac:dyDescent="0.45">
      <c r="A21" s="606"/>
      <c r="B21" s="191" t="s">
        <v>135</v>
      </c>
      <c r="C21" s="192" t="s">
        <v>170</v>
      </c>
      <c r="D21" s="192" t="s">
        <v>171</v>
      </c>
    </row>
    <row r="22" spans="1:4" ht="183.75" customHeight="1" x14ac:dyDescent="0.45">
      <c r="A22" s="607"/>
      <c r="B22" s="191" t="s">
        <v>135</v>
      </c>
      <c r="C22" s="192" t="s">
        <v>172</v>
      </c>
      <c r="D22" s="192" t="s">
        <v>173</v>
      </c>
    </row>
  </sheetData>
  <mergeCells count="8">
    <mergeCell ref="A16:A18"/>
    <mergeCell ref="A19:A22"/>
    <mergeCell ref="A2:B2"/>
    <mergeCell ref="A3:A5"/>
    <mergeCell ref="A6:A8"/>
    <mergeCell ref="A9:A10"/>
    <mergeCell ref="A12:A13"/>
    <mergeCell ref="A14:A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77777"/>
  </sheetPr>
  <dimension ref="B1:T1048576"/>
  <sheetViews>
    <sheetView showGridLines="0" workbookViewId="0">
      <selection activeCell="B10" sqref="B10:I10"/>
    </sheetView>
  </sheetViews>
  <sheetFormatPr defaultRowHeight="15" x14ac:dyDescent="0.25"/>
  <cols>
    <col min="1" max="1" width="3.7109375" customWidth="1"/>
    <col min="2" max="2" width="9.42578125" customWidth="1"/>
    <col min="7" max="7" width="13.42578125" customWidth="1"/>
    <col min="9" max="9" width="11.5703125" customWidth="1"/>
    <col min="19" max="19" width="17.7109375" customWidth="1"/>
  </cols>
  <sheetData>
    <row r="1" spans="2:20" ht="15.75" thickBot="1" x14ac:dyDescent="0.3"/>
    <row r="2" spans="2:20" x14ac:dyDescent="0.25">
      <c r="B2" s="36"/>
      <c r="C2" s="37"/>
      <c r="D2" s="37"/>
      <c r="E2" s="37"/>
      <c r="F2" s="37"/>
      <c r="G2" s="37"/>
      <c r="H2" s="37"/>
      <c r="I2" s="38"/>
      <c r="L2" s="313"/>
      <c r="M2" s="314"/>
      <c r="N2" s="314"/>
      <c r="O2" s="314"/>
      <c r="P2" s="314"/>
      <c r="Q2" s="314"/>
    </row>
    <row r="3" spans="2:20" ht="44.25" customHeight="1" thickBot="1" x14ac:dyDescent="0.3">
      <c r="B3" s="39"/>
      <c r="C3" s="4"/>
      <c r="D3" s="4"/>
      <c r="E3" s="4"/>
      <c r="F3" s="4"/>
      <c r="G3" s="4"/>
      <c r="H3" s="4"/>
      <c r="I3" s="40"/>
      <c r="L3" s="314"/>
      <c r="M3" s="314"/>
      <c r="N3" s="314"/>
      <c r="O3" s="314"/>
      <c r="P3" s="314"/>
      <c r="Q3" s="314"/>
    </row>
    <row r="4" spans="2:20" x14ac:dyDescent="0.25">
      <c r="B4" s="324" t="s">
        <v>215</v>
      </c>
      <c r="C4" s="325"/>
      <c r="D4" s="325"/>
      <c r="E4" s="325"/>
      <c r="F4" s="325"/>
      <c r="G4" s="325"/>
      <c r="H4" s="325"/>
      <c r="I4" s="326"/>
      <c r="L4" s="318" t="s">
        <v>212</v>
      </c>
      <c r="M4" s="319"/>
      <c r="N4" s="319"/>
      <c r="O4" s="319"/>
      <c r="P4" s="319"/>
      <c r="Q4" s="319"/>
      <c r="R4" s="319"/>
      <c r="S4" s="320"/>
    </row>
    <row r="5" spans="2:20" ht="9" customHeight="1" thickBot="1" x14ac:dyDescent="0.3">
      <c r="B5" s="39"/>
      <c r="C5" s="4"/>
      <c r="D5" s="4"/>
      <c r="E5" s="4"/>
      <c r="F5" s="4"/>
      <c r="G5" s="4"/>
      <c r="H5" s="4"/>
      <c r="I5" s="40"/>
      <c r="L5" s="321"/>
      <c r="M5" s="322"/>
      <c r="N5" s="322"/>
      <c r="O5" s="322"/>
      <c r="P5" s="322"/>
      <c r="Q5" s="322"/>
      <c r="R5" s="322"/>
      <c r="S5" s="323"/>
    </row>
    <row r="6" spans="2:20" ht="59.25" customHeight="1" thickBot="1" x14ac:dyDescent="0.3">
      <c r="B6" s="327" t="s">
        <v>386</v>
      </c>
      <c r="C6" s="328"/>
      <c r="D6" s="328"/>
      <c r="E6" s="328"/>
      <c r="F6" s="328"/>
      <c r="G6" s="328"/>
      <c r="H6" s="328"/>
      <c r="I6" s="329"/>
      <c r="L6" s="315" t="s">
        <v>217</v>
      </c>
      <c r="M6" s="316"/>
      <c r="N6" s="316"/>
      <c r="O6" s="316"/>
      <c r="P6" s="316"/>
      <c r="Q6" s="316"/>
      <c r="R6" s="316"/>
      <c r="S6" s="317"/>
    </row>
    <row r="7" spans="2:20" ht="58.5" customHeight="1" thickBot="1" x14ac:dyDescent="0.3">
      <c r="B7" s="330" t="s">
        <v>219</v>
      </c>
      <c r="C7" s="331"/>
      <c r="D7" s="331"/>
      <c r="E7" s="331"/>
      <c r="F7" s="331"/>
      <c r="G7" s="331"/>
      <c r="H7" s="331"/>
      <c r="I7" s="332"/>
      <c r="L7" s="339" t="s">
        <v>218</v>
      </c>
      <c r="M7" s="340"/>
      <c r="N7" s="340"/>
      <c r="O7" s="340"/>
      <c r="P7" s="340"/>
      <c r="Q7" s="340"/>
      <c r="R7" s="340"/>
      <c r="S7" s="341"/>
    </row>
    <row r="8" spans="2:20" ht="36.75" customHeight="1" thickBot="1" x14ac:dyDescent="0.3">
      <c r="B8" s="330" t="s">
        <v>216</v>
      </c>
      <c r="C8" s="331"/>
      <c r="D8" s="331"/>
      <c r="E8" s="331"/>
      <c r="F8" s="331"/>
      <c r="G8" s="331"/>
      <c r="H8" s="331"/>
      <c r="I8" s="332"/>
      <c r="L8" s="333" t="s">
        <v>396</v>
      </c>
      <c r="M8" s="334"/>
      <c r="N8" s="334"/>
      <c r="O8" s="334"/>
      <c r="P8" s="334"/>
      <c r="Q8" s="334"/>
      <c r="R8" s="334"/>
      <c r="S8" s="335"/>
      <c r="T8" s="83"/>
    </row>
    <row r="9" spans="2:20" ht="52.5" customHeight="1" thickBot="1" x14ac:dyDescent="0.3">
      <c r="B9" s="330" t="s">
        <v>92</v>
      </c>
      <c r="C9" s="331"/>
      <c r="D9" s="331"/>
      <c r="E9" s="331"/>
      <c r="F9" s="331"/>
      <c r="G9" s="331"/>
      <c r="H9" s="331"/>
      <c r="I9" s="332"/>
      <c r="L9" s="333" t="s">
        <v>397</v>
      </c>
      <c r="M9" s="334"/>
      <c r="N9" s="334"/>
      <c r="O9" s="334"/>
      <c r="P9" s="334"/>
      <c r="Q9" s="334"/>
      <c r="R9" s="334"/>
      <c r="S9" s="335"/>
    </row>
    <row r="10" spans="2:20" ht="57.75" customHeight="1" thickBot="1" x14ac:dyDescent="0.3">
      <c r="B10" s="345" t="s">
        <v>381</v>
      </c>
      <c r="C10" s="346"/>
      <c r="D10" s="346"/>
      <c r="E10" s="346"/>
      <c r="F10" s="346"/>
      <c r="G10" s="346"/>
      <c r="H10" s="346"/>
      <c r="I10" s="347"/>
    </row>
    <row r="11" spans="2:20" ht="54" customHeight="1" thickBot="1" x14ac:dyDescent="0.3">
      <c r="B11" s="342" t="s">
        <v>385</v>
      </c>
      <c r="C11" s="343"/>
      <c r="D11" s="343"/>
      <c r="E11" s="343"/>
      <c r="F11" s="343"/>
      <c r="G11" s="343"/>
      <c r="H11" s="343"/>
      <c r="I11" s="344"/>
    </row>
    <row r="12" spans="2:20" ht="66" customHeight="1" thickBot="1" x14ac:dyDescent="0.3">
      <c r="B12" s="342" t="s">
        <v>382</v>
      </c>
      <c r="C12" s="343"/>
      <c r="D12" s="343"/>
      <c r="E12" s="343"/>
      <c r="F12" s="343"/>
      <c r="G12" s="343"/>
      <c r="H12" s="343"/>
      <c r="I12" s="344"/>
      <c r="J12" s="348"/>
      <c r="K12" s="349"/>
      <c r="L12" s="349"/>
      <c r="M12" s="349"/>
      <c r="N12" s="349"/>
      <c r="O12" s="349"/>
    </row>
    <row r="13" spans="2:20" ht="15.75" thickBot="1" x14ac:dyDescent="0.3">
      <c r="B13" s="342" t="s">
        <v>383</v>
      </c>
      <c r="C13" s="343"/>
      <c r="D13" s="343"/>
      <c r="E13" s="343"/>
      <c r="F13" s="343"/>
      <c r="G13" s="343"/>
      <c r="H13" s="343"/>
      <c r="I13" s="344"/>
      <c r="J13" s="83"/>
      <c r="K13" s="83"/>
      <c r="L13" s="83"/>
    </row>
    <row r="14" spans="2:20" ht="39.75" hidden="1" customHeight="1" thickBot="1" x14ac:dyDescent="0.3">
      <c r="B14" s="336" t="s">
        <v>384</v>
      </c>
      <c r="C14" s="337"/>
      <c r="D14" s="337"/>
      <c r="E14" s="337"/>
      <c r="F14" s="337"/>
      <c r="G14" s="337"/>
      <c r="H14" s="337"/>
      <c r="I14" s="338"/>
      <c r="J14" s="6"/>
      <c r="K14" s="6"/>
    </row>
    <row r="1048576" hidden="1" x14ac:dyDescent="0.25"/>
  </sheetData>
  <mergeCells count="17">
    <mergeCell ref="B7:I7"/>
    <mergeCell ref="B8:I8"/>
    <mergeCell ref="B9:I9"/>
    <mergeCell ref="L9:S9"/>
    <mergeCell ref="B14:I14"/>
    <mergeCell ref="L7:S7"/>
    <mergeCell ref="L8:S8"/>
    <mergeCell ref="B13:I13"/>
    <mergeCell ref="B11:I11"/>
    <mergeCell ref="B12:I12"/>
    <mergeCell ref="B10:I10"/>
    <mergeCell ref="J12:O12"/>
    <mergeCell ref="L2:Q3"/>
    <mergeCell ref="L6:S6"/>
    <mergeCell ref="L4:S5"/>
    <mergeCell ref="B4:I4"/>
    <mergeCell ref="B6:I6"/>
  </mergeCells>
  <hyperlinks>
    <hyperlink ref="L6:S6" r:id="rId1" display="https://transparencia.caubr.gov.br/resolucao200/"/>
    <hyperlink ref="L7:S7" r:id="rId2" location=":~:text=Disp%C3%B5e%20sobre%20anuidades%2C%20revis%C3%A3o%2C%20parcelamento,ativa%20e%20d%C3%A1%20outras%20provid%C3%AAncias." display="RESOLUÇÃO N° 193, DE 24 DE SETEMBRO DE 2020"/>
    <hyperlink ref="L8:S8" r:id="rId3" display="Projetos Específicos- DPOBR Nº 0097-08.A/2019"/>
    <hyperlink ref="L9:S9" r:id="rId4" display="Projetos Específicos- DPOBR Nº 0084-03/2018"/>
  </hyperlinks>
  <pageMargins left="0.511811024" right="0.511811024" top="0.78740157499999996" bottom="0.78740157499999996" header="0.31496062000000002" footer="0.31496062000000002"/>
  <pageSetup paperSize="9" orientation="portrait" verticalDpi="0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5664"/>
  </sheetPr>
  <dimension ref="A1:P29"/>
  <sheetViews>
    <sheetView showGridLines="0" tabSelected="1" zoomScaleNormal="100" zoomScaleSheetLayoutView="90" workbookViewId="0">
      <selection activeCell="A3" sqref="A3:K25"/>
    </sheetView>
  </sheetViews>
  <sheetFormatPr defaultRowHeight="15" x14ac:dyDescent="0.25"/>
  <cols>
    <col min="1" max="16384" width="9.140625" style="74"/>
  </cols>
  <sheetData>
    <row r="1" spans="1:16" s="6" customFormat="1" ht="51.75" customHeight="1" x14ac:dyDescent="0.25">
      <c r="A1" s="350" t="s">
        <v>220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6" ht="36" customHeight="1" x14ac:dyDescent="0.25">
      <c r="A2" s="351" t="s">
        <v>503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</row>
    <row r="3" spans="1:16" ht="15.75" customHeight="1" x14ac:dyDescent="0.25">
      <c r="A3" s="353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5"/>
      <c r="M3" s="355"/>
      <c r="N3" s="355"/>
      <c r="O3" s="355"/>
      <c r="P3" s="355"/>
    </row>
    <row r="4" spans="1:16" ht="15.75" customHeight="1" x14ac:dyDescent="0.25">
      <c r="A4" s="353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5"/>
      <c r="M4" s="355"/>
      <c r="N4" s="355"/>
      <c r="O4" s="355"/>
      <c r="P4" s="355"/>
    </row>
    <row r="5" spans="1:16" ht="15.75" customHeight="1" x14ac:dyDescent="0.25">
      <c r="A5" s="353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5"/>
      <c r="M5" s="355"/>
      <c r="N5" s="355"/>
      <c r="O5" s="355"/>
      <c r="P5" s="355"/>
    </row>
    <row r="6" spans="1:16" ht="15.75" customHeight="1" x14ac:dyDescent="0.25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5"/>
      <c r="M6" s="355"/>
      <c r="N6" s="355"/>
      <c r="O6" s="355"/>
      <c r="P6" s="355"/>
    </row>
    <row r="7" spans="1:16" ht="15.75" customHeight="1" x14ac:dyDescent="0.25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5"/>
      <c r="M7" s="355"/>
      <c r="N7" s="355"/>
      <c r="O7" s="355"/>
      <c r="P7" s="355"/>
    </row>
    <row r="8" spans="1:16" ht="15.75" customHeight="1" x14ac:dyDescent="0.25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5"/>
      <c r="M8" s="355"/>
      <c r="N8" s="355"/>
      <c r="O8" s="355"/>
      <c r="P8" s="355"/>
    </row>
    <row r="9" spans="1:16" ht="15.75" customHeight="1" x14ac:dyDescent="0.25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5"/>
      <c r="M9" s="355"/>
      <c r="N9" s="355"/>
      <c r="O9" s="355"/>
      <c r="P9" s="355"/>
    </row>
    <row r="10" spans="1:16" ht="15.75" customHeight="1" x14ac:dyDescent="0.25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5"/>
      <c r="M10" s="355"/>
      <c r="N10" s="355"/>
      <c r="O10" s="355"/>
      <c r="P10" s="355"/>
    </row>
    <row r="11" spans="1:16" ht="15.75" customHeight="1" x14ac:dyDescent="0.25">
      <c r="A11" s="353"/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5"/>
      <c r="M11" s="355"/>
      <c r="N11" s="355"/>
      <c r="O11" s="355"/>
      <c r="P11" s="355"/>
    </row>
    <row r="12" spans="1:16" ht="15.75" customHeight="1" x14ac:dyDescent="0.25">
      <c r="A12" s="353"/>
      <c r="B12" s="354"/>
      <c r="C12" s="354"/>
      <c r="D12" s="354"/>
      <c r="E12" s="354"/>
      <c r="F12" s="354"/>
      <c r="G12" s="354"/>
      <c r="H12" s="354"/>
      <c r="I12" s="354"/>
      <c r="J12" s="354"/>
      <c r="K12" s="354"/>
    </row>
    <row r="13" spans="1:16" ht="15.75" customHeight="1" x14ac:dyDescent="0.25">
      <c r="A13" s="353"/>
      <c r="B13" s="354"/>
      <c r="C13" s="354"/>
      <c r="D13" s="354"/>
      <c r="E13" s="354"/>
      <c r="F13" s="354"/>
      <c r="G13" s="354"/>
      <c r="H13" s="354"/>
      <c r="I13" s="354"/>
      <c r="J13" s="354"/>
      <c r="K13" s="354"/>
    </row>
    <row r="14" spans="1:16" ht="15" customHeight="1" x14ac:dyDescent="0.25">
      <c r="A14" s="353"/>
      <c r="B14" s="354"/>
      <c r="C14" s="354"/>
      <c r="D14" s="354"/>
      <c r="E14" s="354"/>
      <c r="F14" s="354"/>
      <c r="G14" s="354"/>
      <c r="H14" s="354"/>
      <c r="I14" s="354"/>
      <c r="J14" s="354"/>
      <c r="K14" s="354"/>
    </row>
    <row r="15" spans="1:16" ht="15.75" customHeight="1" x14ac:dyDescent="0.25">
      <c r="A15" s="353"/>
      <c r="B15" s="354"/>
      <c r="C15" s="354"/>
      <c r="D15" s="354"/>
      <c r="E15" s="354"/>
      <c r="F15" s="354"/>
      <c r="G15" s="354"/>
      <c r="H15" s="354"/>
      <c r="I15" s="354"/>
      <c r="J15" s="354"/>
      <c r="K15" s="354"/>
    </row>
    <row r="16" spans="1:16" ht="15.75" customHeight="1" x14ac:dyDescent="0.25">
      <c r="A16" s="353"/>
      <c r="B16" s="354"/>
      <c r="C16" s="354"/>
      <c r="D16" s="354"/>
      <c r="E16" s="354"/>
      <c r="F16" s="354"/>
      <c r="G16" s="354"/>
      <c r="H16" s="354"/>
      <c r="I16" s="354"/>
      <c r="J16" s="354"/>
      <c r="K16" s="354"/>
    </row>
    <row r="17" spans="1:13" ht="15.75" customHeight="1" x14ac:dyDescent="0.25">
      <c r="A17" s="353"/>
      <c r="B17" s="354"/>
      <c r="C17" s="354"/>
      <c r="D17" s="354"/>
      <c r="E17" s="354"/>
      <c r="F17" s="354"/>
      <c r="G17" s="354"/>
      <c r="H17" s="354"/>
      <c r="I17" s="354"/>
      <c r="J17" s="354"/>
      <c r="K17" s="354"/>
    </row>
    <row r="18" spans="1:13" ht="15.75" customHeight="1" x14ac:dyDescent="0.25">
      <c r="A18" s="353"/>
      <c r="B18" s="354"/>
      <c r="C18" s="354"/>
      <c r="D18" s="354"/>
      <c r="E18" s="354"/>
      <c r="F18" s="354"/>
      <c r="G18" s="354"/>
      <c r="H18" s="354"/>
      <c r="I18" s="354"/>
      <c r="J18" s="354"/>
      <c r="K18" s="354"/>
    </row>
    <row r="19" spans="1:13" ht="15.75" customHeight="1" x14ac:dyDescent="0.25">
      <c r="A19" s="353"/>
      <c r="B19" s="354"/>
      <c r="C19" s="354"/>
      <c r="D19" s="354"/>
      <c r="E19" s="354"/>
      <c r="F19" s="354"/>
      <c r="G19" s="354"/>
      <c r="H19" s="354"/>
      <c r="I19" s="354"/>
      <c r="J19" s="354"/>
      <c r="K19" s="354"/>
    </row>
    <row r="20" spans="1:13" ht="15.75" customHeight="1" x14ac:dyDescent="0.25">
      <c r="A20" s="353"/>
      <c r="B20" s="354"/>
      <c r="C20" s="354"/>
      <c r="D20" s="354"/>
      <c r="E20" s="354"/>
      <c r="F20" s="354"/>
      <c r="G20" s="354"/>
      <c r="H20" s="354"/>
      <c r="I20" s="354"/>
      <c r="J20" s="354"/>
      <c r="K20" s="354"/>
    </row>
    <row r="21" spans="1:13" ht="15.75" customHeight="1" x14ac:dyDescent="0.25">
      <c r="A21" s="353"/>
      <c r="B21" s="354"/>
      <c r="C21" s="354"/>
      <c r="D21" s="354"/>
      <c r="E21" s="354"/>
      <c r="F21" s="354"/>
      <c r="G21" s="354"/>
      <c r="H21" s="354"/>
      <c r="I21" s="354"/>
      <c r="J21" s="354"/>
      <c r="K21" s="354"/>
    </row>
    <row r="22" spans="1:13" ht="15.75" customHeight="1" x14ac:dyDescent="0.25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</row>
    <row r="23" spans="1:13" ht="15.75" customHeight="1" x14ac:dyDescent="0.25">
      <c r="A23" s="353"/>
      <c r="B23" s="354"/>
      <c r="C23" s="354"/>
      <c r="D23" s="354"/>
      <c r="E23" s="354"/>
      <c r="F23" s="354"/>
      <c r="G23" s="354"/>
      <c r="H23" s="354"/>
      <c r="I23" s="354"/>
      <c r="J23" s="354"/>
      <c r="K23" s="354"/>
    </row>
    <row r="24" spans="1:13" ht="15" customHeight="1" x14ac:dyDescent="0.25">
      <c r="A24" s="353"/>
      <c r="B24" s="354"/>
      <c r="C24" s="354"/>
      <c r="D24" s="354"/>
      <c r="E24" s="354"/>
      <c r="F24" s="354"/>
      <c r="G24" s="354"/>
      <c r="H24" s="354"/>
      <c r="I24" s="354"/>
      <c r="J24" s="354"/>
      <c r="K24" s="354"/>
    </row>
    <row r="25" spans="1:13" ht="15.75" customHeight="1" x14ac:dyDescent="0.25">
      <c r="A25" s="353"/>
      <c r="B25" s="354"/>
      <c r="C25" s="354"/>
      <c r="D25" s="354"/>
      <c r="E25" s="354"/>
      <c r="F25" s="354"/>
      <c r="G25" s="354"/>
      <c r="H25" s="354"/>
      <c r="I25" s="354"/>
      <c r="J25" s="354"/>
      <c r="K25" s="354"/>
    </row>
    <row r="26" spans="1:1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16"/>
      <c r="M26" s="16"/>
    </row>
    <row r="28" spans="1:13" ht="4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 ht="36" customHeight="1" x14ac:dyDescent="0.25">
      <c r="A29" s="351" t="s">
        <v>179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</row>
  </sheetData>
  <mergeCells count="5">
    <mergeCell ref="A1:K1"/>
    <mergeCell ref="A2:K2"/>
    <mergeCell ref="A3:K25"/>
    <mergeCell ref="L3:P11"/>
    <mergeCell ref="A29:K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77777"/>
  </sheetPr>
  <dimension ref="A1:U114"/>
  <sheetViews>
    <sheetView showGridLines="0" zoomScale="40" zoomScaleNormal="40" zoomScaleSheetLayoutView="50" workbookViewId="0">
      <selection activeCell="I27" sqref="I27"/>
    </sheetView>
  </sheetViews>
  <sheetFormatPr defaultRowHeight="23.25" x14ac:dyDescent="0.35"/>
  <cols>
    <col min="1" max="1" width="85.42578125" style="122" customWidth="1"/>
    <col min="2" max="2" width="112.7109375" style="123" customWidth="1"/>
    <col min="3" max="3" width="11.5703125" style="63" customWidth="1"/>
    <col min="4" max="4" width="39.42578125" style="123" hidden="1" customWidth="1"/>
    <col min="5" max="5" width="24.7109375" style="123" hidden="1" customWidth="1"/>
    <col min="6" max="6" width="24.7109375" style="124" customWidth="1"/>
    <col min="7" max="7" width="41.7109375" style="85" customWidth="1"/>
    <col min="8" max="8" width="18.85546875" style="85" customWidth="1"/>
    <col min="9" max="9" width="17.7109375" style="85" customWidth="1"/>
    <col min="10" max="11" width="9.140625" style="63"/>
    <col min="12" max="12" width="20.140625" style="63" bestFit="1" customWidth="1"/>
    <col min="13" max="13" width="12.28515625" style="63" bestFit="1" customWidth="1"/>
    <col min="14" max="16384" width="9.140625" style="63"/>
  </cols>
  <sheetData>
    <row r="1" spans="1:21" s="85" customFormat="1" ht="108.75" customHeight="1" x14ac:dyDescent="0.35">
      <c r="A1" s="370" t="s">
        <v>387</v>
      </c>
      <c r="B1" s="371"/>
      <c r="C1" s="371"/>
      <c r="D1" s="371"/>
      <c r="E1" s="371"/>
      <c r="F1" s="371"/>
      <c r="G1" s="194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85" customFormat="1" ht="45" customHeight="1" x14ac:dyDescent="0.35">
      <c r="A2" s="372" t="s">
        <v>504</v>
      </c>
      <c r="B2" s="372"/>
      <c r="C2" s="372"/>
      <c r="D2" s="372"/>
      <c r="E2" s="372"/>
      <c r="F2" s="372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1" s="85" customFormat="1" ht="45" customHeight="1" x14ac:dyDescent="0.35">
      <c r="A3" s="372" t="s">
        <v>40</v>
      </c>
      <c r="B3" s="372"/>
      <c r="C3" s="372"/>
      <c r="D3" s="372"/>
      <c r="E3" s="372"/>
      <c r="F3" s="372"/>
      <c r="I3" s="357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</row>
    <row r="4" spans="1:21" s="85" customFormat="1" ht="21" customHeight="1" thickBot="1" x14ac:dyDescent="0.4">
      <c r="A4" s="86"/>
      <c r="B4" s="86"/>
      <c r="C4" s="86"/>
      <c r="D4" s="86"/>
      <c r="E4" s="86"/>
      <c r="F4" s="87"/>
      <c r="I4" s="357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</row>
    <row r="5" spans="1:21" s="85" customFormat="1" ht="45" customHeight="1" x14ac:dyDescent="0.35">
      <c r="A5" s="373" t="s">
        <v>66</v>
      </c>
      <c r="B5" s="374"/>
      <c r="C5" s="374"/>
      <c r="D5" s="374"/>
      <c r="E5" s="375"/>
      <c r="F5" s="376"/>
      <c r="I5" s="357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</row>
    <row r="6" spans="1:21" s="85" customFormat="1" ht="79.5" customHeight="1" x14ac:dyDescent="0.35">
      <c r="A6" s="88" t="s">
        <v>26</v>
      </c>
      <c r="B6" s="377" t="s">
        <v>63</v>
      </c>
      <c r="C6" s="378"/>
      <c r="D6" s="89" t="s">
        <v>64</v>
      </c>
      <c r="E6" s="90" t="s">
        <v>328</v>
      </c>
      <c r="F6" s="90" t="s">
        <v>327</v>
      </c>
      <c r="I6" s="357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</row>
    <row r="7" spans="1:21" s="85" customFormat="1" ht="45" customHeight="1" x14ac:dyDescent="0.35">
      <c r="A7" s="363" t="s">
        <v>221</v>
      </c>
      <c r="B7" s="91" t="s">
        <v>222</v>
      </c>
      <c r="C7" s="365" t="s">
        <v>95</v>
      </c>
      <c r="D7" s="367" t="s">
        <v>88</v>
      </c>
      <c r="E7" s="379">
        <v>0.46</v>
      </c>
      <c r="F7" s="379">
        <v>0.46</v>
      </c>
      <c r="I7" s="357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</row>
    <row r="8" spans="1:21" s="85" customFormat="1" ht="45" customHeight="1" x14ac:dyDescent="0.35">
      <c r="A8" s="364"/>
      <c r="B8" s="92" t="s">
        <v>223</v>
      </c>
      <c r="C8" s="366"/>
      <c r="D8" s="367"/>
      <c r="E8" s="379"/>
      <c r="F8" s="379"/>
      <c r="I8" s="357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</row>
    <row r="9" spans="1:21" s="85" customFormat="1" ht="24" customHeight="1" thickBot="1" x14ac:dyDescent="0.4">
      <c r="A9" s="93"/>
      <c r="B9" s="94"/>
      <c r="C9" s="94"/>
      <c r="D9" s="94"/>
      <c r="E9" s="94"/>
      <c r="F9" s="95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1:21" s="85" customFormat="1" ht="45" customHeight="1" x14ac:dyDescent="0.35">
      <c r="A10" s="358" t="s">
        <v>65</v>
      </c>
      <c r="B10" s="359"/>
      <c r="C10" s="359"/>
      <c r="D10" s="359"/>
      <c r="E10" s="359"/>
      <c r="F10" s="360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21" s="85" customFormat="1" ht="79.5" customHeight="1" x14ac:dyDescent="0.35">
      <c r="A11" s="96" t="s">
        <v>27</v>
      </c>
      <c r="B11" s="361" t="s">
        <v>63</v>
      </c>
      <c r="C11" s="362"/>
      <c r="D11" s="97" t="s">
        <v>64</v>
      </c>
      <c r="E11" s="90" t="s">
        <v>328</v>
      </c>
      <c r="F11" s="90" t="s">
        <v>327</v>
      </c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1:21" s="85" customFormat="1" ht="45" customHeight="1" x14ac:dyDescent="0.35">
      <c r="A12" s="363" t="s">
        <v>224</v>
      </c>
      <c r="B12" s="91" t="s">
        <v>225</v>
      </c>
      <c r="C12" s="365" t="s">
        <v>95</v>
      </c>
      <c r="D12" s="367" t="s">
        <v>226</v>
      </c>
      <c r="E12" s="368">
        <v>0.2</v>
      </c>
      <c r="F12" s="368">
        <v>0.2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spans="1:21" s="85" customFormat="1" ht="45" customHeight="1" x14ac:dyDescent="0.35">
      <c r="A13" s="364"/>
      <c r="B13" s="92" t="s">
        <v>227</v>
      </c>
      <c r="C13" s="366"/>
      <c r="D13" s="367"/>
      <c r="E13" s="369"/>
      <c r="F13" s="369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21" s="85" customFormat="1" ht="45" customHeight="1" x14ac:dyDescent="0.35">
      <c r="A14" s="363" t="s">
        <v>228</v>
      </c>
      <c r="B14" s="91" t="s">
        <v>229</v>
      </c>
      <c r="C14" s="365" t="s">
        <v>95</v>
      </c>
      <c r="D14" s="367" t="s">
        <v>226</v>
      </c>
      <c r="E14" s="384">
        <v>7.0000000000000007E-2</v>
      </c>
      <c r="F14" s="384">
        <v>7.0000000000000007E-2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21" s="85" customFormat="1" ht="45" customHeight="1" x14ac:dyDescent="0.35">
      <c r="A15" s="364"/>
      <c r="B15" s="92" t="s">
        <v>230</v>
      </c>
      <c r="C15" s="366"/>
      <c r="D15" s="367"/>
      <c r="E15" s="385"/>
      <c r="F15" s="385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21" s="85" customFormat="1" ht="45" customHeight="1" x14ac:dyDescent="0.35">
      <c r="A16" s="363" t="s">
        <v>231</v>
      </c>
      <c r="B16" s="386" t="s">
        <v>232</v>
      </c>
      <c r="C16" s="387"/>
      <c r="D16" s="367" t="s">
        <v>226</v>
      </c>
      <c r="E16" s="388">
        <v>0.2</v>
      </c>
      <c r="F16" s="388">
        <v>0.2</v>
      </c>
      <c r="I16" s="251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85" customFormat="1" ht="45" customHeight="1" x14ac:dyDescent="0.35">
      <c r="A17" s="364"/>
      <c r="B17" s="380" t="s">
        <v>233</v>
      </c>
      <c r="C17" s="381"/>
      <c r="D17" s="367"/>
      <c r="E17" s="389"/>
      <c r="F17" s="389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85" customFormat="1" ht="45" customHeight="1" x14ac:dyDescent="0.35">
      <c r="A18" s="363" t="s">
        <v>234</v>
      </c>
      <c r="B18" s="91" t="s">
        <v>235</v>
      </c>
      <c r="C18" s="365" t="s">
        <v>95</v>
      </c>
      <c r="D18" s="367" t="s">
        <v>226</v>
      </c>
      <c r="E18" s="382">
        <v>0.7</v>
      </c>
      <c r="F18" s="382">
        <v>0.7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85" customFormat="1" ht="45" customHeight="1" x14ac:dyDescent="0.35">
      <c r="A19" s="364"/>
      <c r="B19" s="92" t="s">
        <v>236</v>
      </c>
      <c r="C19" s="366"/>
      <c r="D19" s="367"/>
      <c r="E19" s="383"/>
      <c r="F19" s="38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85" customFormat="1" ht="45" customHeight="1" x14ac:dyDescent="0.35">
      <c r="A20" s="363" t="s">
        <v>237</v>
      </c>
      <c r="B20" s="91" t="s">
        <v>238</v>
      </c>
      <c r="C20" s="365" t="s">
        <v>95</v>
      </c>
      <c r="D20" s="367" t="s">
        <v>97</v>
      </c>
      <c r="E20" s="382">
        <v>0.22</v>
      </c>
      <c r="F20" s="382">
        <v>0.22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85" customFormat="1" ht="45" customHeight="1" x14ac:dyDescent="0.35">
      <c r="A21" s="364"/>
      <c r="B21" s="92" t="s">
        <v>239</v>
      </c>
      <c r="C21" s="366"/>
      <c r="D21" s="367"/>
      <c r="E21" s="383"/>
      <c r="F21" s="38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85" customFormat="1" ht="45" customHeight="1" x14ac:dyDescent="0.35">
      <c r="A22" s="363" t="s">
        <v>240</v>
      </c>
      <c r="B22" s="91" t="s">
        <v>241</v>
      </c>
      <c r="C22" s="365" t="s">
        <v>95</v>
      </c>
      <c r="D22" s="367" t="s">
        <v>97</v>
      </c>
      <c r="E22" s="368">
        <v>0.05</v>
      </c>
      <c r="F22" s="368">
        <v>0.05</v>
      </c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85" customFormat="1" ht="45" customHeight="1" x14ac:dyDescent="0.35">
      <c r="A23" s="364"/>
      <c r="B23" s="92" t="s">
        <v>242</v>
      </c>
      <c r="C23" s="366"/>
      <c r="D23" s="367"/>
      <c r="E23" s="369"/>
      <c r="F23" s="369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85" customFormat="1" ht="45" customHeight="1" x14ac:dyDescent="0.35">
      <c r="A24" s="363" t="s">
        <v>243</v>
      </c>
      <c r="B24" s="91" t="s">
        <v>244</v>
      </c>
      <c r="C24" s="365" t="s">
        <v>95</v>
      </c>
      <c r="D24" s="367" t="s">
        <v>96</v>
      </c>
      <c r="E24" s="382">
        <v>7.0000000000000007E-2</v>
      </c>
      <c r="F24" s="382">
        <v>7.0000000000000007E-2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85" customFormat="1" ht="45" customHeight="1" x14ac:dyDescent="0.35">
      <c r="A25" s="364"/>
      <c r="B25" s="92" t="s">
        <v>245</v>
      </c>
      <c r="C25" s="366"/>
      <c r="D25" s="367"/>
      <c r="E25" s="383"/>
      <c r="F25" s="38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85" customFormat="1" ht="45" customHeight="1" x14ac:dyDescent="0.35">
      <c r="A26" s="363" t="s">
        <v>246</v>
      </c>
      <c r="B26" s="91" t="s">
        <v>247</v>
      </c>
      <c r="C26" s="365" t="s">
        <v>95</v>
      </c>
      <c r="D26" s="367" t="s">
        <v>96</v>
      </c>
      <c r="E26" s="382">
        <v>0.3</v>
      </c>
      <c r="F26" s="382">
        <v>0.3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85" customFormat="1" ht="45" customHeight="1" x14ac:dyDescent="0.35">
      <c r="A27" s="364"/>
      <c r="B27" s="92" t="s">
        <v>229</v>
      </c>
      <c r="C27" s="366"/>
      <c r="D27" s="367"/>
      <c r="E27" s="383"/>
      <c r="F27" s="38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85" customFormat="1" ht="45" customHeight="1" x14ac:dyDescent="0.35">
      <c r="A28" s="363" t="s">
        <v>248</v>
      </c>
      <c r="B28" s="91" t="s">
        <v>249</v>
      </c>
      <c r="C28" s="365" t="s">
        <v>95</v>
      </c>
      <c r="D28" s="367" t="s">
        <v>96</v>
      </c>
      <c r="E28" s="393">
        <v>0.38</v>
      </c>
      <c r="F28" s="393">
        <v>0.38</v>
      </c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85" customFormat="1" ht="45" customHeight="1" x14ac:dyDescent="0.35">
      <c r="A29" s="364"/>
      <c r="B29" s="92" t="s">
        <v>230</v>
      </c>
      <c r="C29" s="366"/>
      <c r="D29" s="367"/>
      <c r="E29" s="394"/>
      <c r="F29" s="394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85" customFormat="1" ht="45" customHeight="1" x14ac:dyDescent="0.35">
      <c r="A30" s="363" t="s">
        <v>250</v>
      </c>
      <c r="B30" s="91" t="s">
        <v>251</v>
      </c>
      <c r="C30" s="365" t="s">
        <v>95</v>
      </c>
      <c r="D30" s="367" t="s">
        <v>96</v>
      </c>
      <c r="E30" s="393">
        <v>0.32</v>
      </c>
      <c r="F30" s="393">
        <v>0.32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85" customFormat="1" ht="45" customHeight="1" x14ac:dyDescent="0.35">
      <c r="A31" s="364"/>
      <c r="B31" s="92" t="s">
        <v>252</v>
      </c>
      <c r="C31" s="366"/>
      <c r="D31" s="367"/>
      <c r="E31" s="394"/>
      <c r="F31" s="394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85" customFormat="1" ht="79.5" customHeight="1" x14ac:dyDescent="0.35">
      <c r="A32" s="96" t="s">
        <v>28</v>
      </c>
      <c r="B32" s="361" t="s">
        <v>63</v>
      </c>
      <c r="C32" s="390"/>
      <c r="D32" s="97" t="s">
        <v>64</v>
      </c>
      <c r="E32" s="90" t="s">
        <v>328</v>
      </c>
      <c r="F32" s="90" t="s">
        <v>327</v>
      </c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85" customFormat="1" ht="45" customHeight="1" x14ac:dyDescent="0.35">
      <c r="A33" s="363" t="s">
        <v>253</v>
      </c>
      <c r="B33" s="91" t="s">
        <v>254</v>
      </c>
      <c r="C33" s="365" t="s">
        <v>95</v>
      </c>
      <c r="D33" s="367" t="s">
        <v>89</v>
      </c>
      <c r="E33" s="391">
        <v>0.65</v>
      </c>
      <c r="F33" s="391">
        <v>0.65</v>
      </c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85" customFormat="1" ht="45" customHeight="1" x14ac:dyDescent="0.35">
      <c r="A34" s="364"/>
      <c r="B34" s="92" t="s">
        <v>255</v>
      </c>
      <c r="C34" s="366"/>
      <c r="D34" s="367"/>
      <c r="E34" s="392"/>
      <c r="F34" s="392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85" customFormat="1" ht="45" customHeight="1" x14ac:dyDescent="0.35">
      <c r="A35" s="401" t="s">
        <v>256</v>
      </c>
      <c r="B35" s="91" t="s">
        <v>98</v>
      </c>
      <c r="C35" s="397" t="s">
        <v>95</v>
      </c>
      <c r="D35" s="367" t="s">
        <v>89</v>
      </c>
      <c r="E35" s="402">
        <v>0.95</v>
      </c>
      <c r="F35" s="402">
        <v>0.95</v>
      </c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85" customFormat="1" ht="45" customHeight="1" x14ac:dyDescent="0.35">
      <c r="A36" s="401"/>
      <c r="B36" s="92" t="s">
        <v>99</v>
      </c>
      <c r="C36" s="397"/>
      <c r="D36" s="367"/>
      <c r="E36" s="392"/>
      <c r="F36" s="392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85" customFormat="1" ht="45" customHeight="1" x14ac:dyDescent="0.35">
      <c r="A37" s="401" t="s">
        <v>257</v>
      </c>
      <c r="B37" s="91" t="s">
        <v>258</v>
      </c>
      <c r="C37" s="397" t="s">
        <v>95</v>
      </c>
      <c r="D37" s="367" t="s">
        <v>89</v>
      </c>
      <c r="E37" s="402">
        <v>0.8</v>
      </c>
      <c r="F37" s="402">
        <v>0.8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85" customFormat="1" ht="45" customHeight="1" x14ac:dyDescent="0.35">
      <c r="A38" s="401"/>
      <c r="B38" s="92" t="s">
        <v>259</v>
      </c>
      <c r="C38" s="397"/>
      <c r="D38" s="367"/>
      <c r="E38" s="392"/>
      <c r="F38" s="392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85" customFormat="1" ht="79.5" customHeight="1" x14ac:dyDescent="0.35">
      <c r="A39" s="96" t="s">
        <v>29</v>
      </c>
      <c r="B39" s="361" t="s">
        <v>63</v>
      </c>
      <c r="C39" s="390"/>
      <c r="D39" s="97" t="s">
        <v>64</v>
      </c>
      <c r="E39" s="90" t="s">
        <v>328</v>
      </c>
      <c r="F39" s="90" t="s">
        <v>327</v>
      </c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85" customFormat="1" ht="45" customHeight="1" x14ac:dyDescent="0.35">
      <c r="A40" s="395" t="s">
        <v>260</v>
      </c>
      <c r="B40" s="98" t="s">
        <v>261</v>
      </c>
      <c r="C40" s="397" t="s">
        <v>95</v>
      </c>
      <c r="D40" s="398" t="s">
        <v>262</v>
      </c>
      <c r="E40" s="400">
        <v>1</v>
      </c>
      <c r="F40" s="400">
        <v>1</v>
      </c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85" customFormat="1" ht="45" customHeight="1" x14ac:dyDescent="0.35">
      <c r="A41" s="396"/>
      <c r="B41" s="99" t="s">
        <v>263</v>
      </c>
      <c r="C41" s="397"/>
      <c r="D41" s="399"/>
      <c r="E41" s="400"/>
      <c r="F41" s="400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85" customFormat="1" ht="45" hidden="1" customHeight="1" x14ac:dyDescent="0.35">
      <c r="A42" s="405" t="s">
        <v>264</v>
      </c>
      <c r="B42" s="100" t="s">
        <v>265</v>
      </c>
      <c r="C42" s="397" t="s">
        <v>95</v>
      </c>
      <c r="D42" s="408" t="s">
        <v>97</v>
      </c>
      <c r="E42" s="393"/>
      <c r="F42" s="400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85" customFormat="1" ht="45" hidden="1" customHeight="1" x14ac:dyDescent="0.35">
      <c r="A43" s="405"/>
      <c r="B43" s="101" t="s">
        <v>266</v>
      </c>
      <c r="C43" s="397"/>
      <c r="D43" s="399"/>
      <c r="E43" s="394"/>
      <c r="F43" s="400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85" customFormat="1" ht="45" hidden="1" customHeight="1" x14ac:dyDescent="0.35">
      <c r="A44" s="405" t="s">
        <v>267</v>
      </c>
      <c r="B44" s="409" t="s">
        <v>268</v>
      </c>
      <c r="C44" s="410"/>
      <c r="D44" s="408" t="s">
        <v>97</v>
      </c>
      <c r="E44" s="393"/>
      <c r="F44" s="400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85" customFormat="1" ht="45" hidden="1" customHeight="1" x14ac:dyDescent="0.35">
      <c r="A45" s="405"/>
      <c r="B45" s="403" t="s">
        <v>269</v>
      </c>
      <c r="C45" s="404"/>
      <c r="D45" s="399"/>
      <c r="E45" s="394"/>
      <c r="F45" s="400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85" customFormat="1" ht="45" hidden="1" customHeight="1" x14ac:dyDescent="0.35">
      <c r="A46" s="405" t="s">
        <v>270</v>
      </c>
      <c r="B46" s="100" t="s">
        <v>271</v>
      </c>
      <c r="C46" s="406" t="s">
        <v>95</v>
      </c>
      <c r="D46" s="408" t="s">
        <v>97</v>
      </c>
      <c r="E46" s="393"/>
      <c r="F46" s="400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ht="45" hidden="1" customHeight="1" x14ac:dyDescent="0.35">
      <c r="A47" s="405"/>
      <c r="B47" s="101" t="s">
        <v>272</v>
      </c>
      <c r="C47" s="407"/>
      <c r="D47" s="399"/>
      <c r="E47" s="394"/>
      <c r="F47" s="400"/>
      <c r="H47" s="273"/>
      <c r="I47" s="102"/>
    </row>
    <row r="48" spans="1:19" s="85" customFormat="1" ht="79.5" hidden="1" customHeight="1" x14ac:dyDescent="0.35">
      <c r="A48" s="96" t="s">
        <v>30</v>
      </c>
      <c r="B48" s="361" t="s">
        <v>63</v>
      </c>
      <c r="C48" s="390"/>
      <c r="D48" s="97" t="s">
        <v>64</v>
      </c>
      <c r="E48" s="90" t="s">
        <v>328</v>
      </c>
      <c r="F48" s="90" t="s">
        <v>327</v>
      </c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ht="90" hidden="1" customHeight="1" x14ac:dyDescent="0.35">
      <c r="A49" s="103" t="s">
        <v>273</v>
      </c>
      <c r="B49" s="415" t="s">
        <v>274</v>
      </c>
      <c r="C49" s="416"/>
      <c r="D49" s="104" t="s">
        <v>88</v>
      </c>
      <c r="E49" s="105"/>
      <c r="F49" s="106"/>
    </row>
    <row r="50" spans="1:19" s="85" customFormat="1" ht="79.5" customHeight="1" x14ac:dyDescent="0.35">
      <c r="A50" s="96" t="s">
        <v>31</v>
      </c>
      <c r="B50" s="361" t="s">
        <v>63</v>
      </c>
      <c r="C50" s="390"/>
      <c r="D50" s="97" t="s">
        <v>64</v>
      </c>
      <c r="E50" s="90" t="s">
        <v>328</v>
      </c>
      <c r="F50" s="90" t="s">
        <v>327</v>
      </c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ht="45" customHeight="1" x14ac:dyDescent="0.35">
      <c r="A51" s="405" t="s">
        <v>275</v>
      </c>
      <c r="B51" s="100" t="s">
        <v>276</v>
      </c>
      <c r="C51" s="411" t="s">
        <v>95</v>
      </c>
      <c r="D51" s="413" t="s">
        <v>88</v>
      </c>
      <c r="E51" s="400">
        <v>0.05</v>
      </c>
      <c r="F51" s="400">
        <v>0.05</v>
      </c>
    </row>
    <row r="52" spans="1:19" ht="45" customHeight="1" x14ac:dyDescent="0.35">
      <c r="A52" s="405"/>
      <c r="B52" s="101" t="s">
        <v>223</v>
      </c>
      <c r="C52" s="412"/>
      <c r="D52" s="414"/>
      <c r="E52" s="400"/>
      <c r="F52" s="400"/>
    </row>
    <row r="53" spans="1:19" ht="45" customHeight="1" x14ac:dyDescent="0.35">
      <c r="A53" s="405" t="s">
        <v>277</v>
      </c>
      <c r="B53" s="100" t="s">
        <v>274</v>
      </c>
      <c r="C53" s="411" t="s">
        <v>95</v>
      </c>
      <c r="D53" s="413" t="s">
        <v>88</v>
      </c>
      <c r="E53" s="400">
        <v>0.02</v>
      </c>
      <c r="F53" s="400">
        <v>0.02</v>
      </c>
    </row>
    <row r="54" spans="1:19" ht="45" customHeight="1" x14ac:dyDescent="0.35">
      <c r="A54" s="405"/>
      <c r="B54" s="101" t="s">
        <v>223</v>
      </c>
      <c r="C54" s="412"/>
      <c r="D54" s="414"/>
      <c r="E54" s="400"/>
      <c r="F54" s="400"/>
    </row>
    <row r="55" spans="1:19" s="85" customFormat="1" ht="79.5" customHeight="1" x14ac:dyDescent="0.35">
      <c r="A55" s="96" t="s">
        <v>32</v>
      </c>
      <c r="B55" s="361" t="s">
        <v>63</v>
      </c>
      <c r="C55" s="390"/>
      <c r="D55" s="97" t="s">
        <v>64</v>
      </c>
      <c r="E55" s="90" t="s">
        <v>328</v>
      </c>
      <c r="F55" s="90" t="s">
        <v>327</v>
      </c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85" customFormat="1" ht="90" customHeight="1" x14ac:dyDescent="0.35">
      <c r="A56" s="107" t="s">
        <v>278</v>
      </c>
      <c r="B56" s="419" t="s">
        <v>279</v>
      </c>
      <c r="C56" s="420"/>
      <c r="D56" s="108" t="s">
        <v>226</v>
      </c>
      <c r="E56" s="109">
        <v>60000</v>
      </c>
      <c r="F56" s="109">
        <v>60000</v>
      </c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85" customFormat="1" ht="45" hidden="1" customHeight="1" x14ac:dyDescent="0.35">
      <c r="A57" s="395" t="s">
        <v>280</v>
      </c>
      <c r="B57" s="100" t="s">
        <v>281</v>
      </c>
      <c r="C57" s="411" t="s">
        <v>95</v>
      </c>
      <c r="D57" s="417" t="s">
        <v>89</v>
      </c>
      <c r="E57" s="393"/>
      <c r="F57" s="39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85" customFormat="1" ht="45" hidden="1" customHeight="1" x14ac:dyDescent="0.35">
      <c r="A58" s="396"/>
      <c r="B58" s="101" t="s">
        <v>100</v>
      </c>
      <c r="C58" s="412"/>
      <c r="D58" s="418"/>
      <c r="E58" s="394"/>
      <c r="F58" s="394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85" customFormat="1" ht="45" hidden="1" customHeight="1" x14ac:dyDescent="0.35">
      <c r="A59" s="395" t="s">
        <v>282</v>
      </c>
      <c r="B59" s="100" t="s">
        <v>283</v>
      </c>
      <c r="C59" s="411" t="s">
        <v>95</v>
      </c>
      <c r="D59" s="417" t="s">
        <v>89</v>
      </c>
      <c r="E59" s="393"/>
      <c r="F59" s="39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85" customFormat="1" ht="45" hidden="1" customHeight="1" x14ac:dyDescent="0.35">
      <c r="A60" s="396"/>
      <c r="B60" s="101" t="s">
        <v>101</v>
      </c>
      <c r="C60" s="412"/>
      <c r="D60" s="418"/>
      <c r="E60" s="394"/>
      <c r="F60" s="394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85" customFormat="1" ht="90" customHeight="1" x14ac:dyDescent="0.35">
      <c r="A61" s="107" t="s">
        <v>284</v>
      </c>
      <c r="B61" s="419" t="s">
        <v>285</v>
      </c>
      <c r="C61" s="420"/>
      <c r="D61" s="108" t="s">
        <v>97</v>
      </c>
      <c r="E61" s="109">
        <v>110000</v>
      </c>
      <c r="F61" s="109">
        <v>110000</v>
      </c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85" customFormat="1" ht="79.5" customHeight="1" x14ac:dyDescent="0.35">
      <c r="A62" s="96" t="s">
        <v>33</v>
      </c>
      <c r="B62" s="361" t="s">
        <v>63</v>
      </c>
      <c r="C62" s="390"/>
      <c r="D62" s="97" t="s">
        <v>64</v>
      </c>
      <c r="E62" s="90" t="s">
        <v>328</v>
      </c>
      <c r="F62" s="90" t="s">
        <v>327</v>
      </c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85" customFormat="1" ht="45" customHeight="1" x14ac:dyDescent="0.35">
      <c r="A63" s="424" t="s">
        <v>286</v>
      </c>
      <c r="B63" s="110" t="s">
        <v>287</v>
      </c>
      <c r="C63" s="422" t="s">
        <v>95</v>
      </c>
      <c r="D63" s="423" t="s">
        <v>88</v>
      </c>
      <c r="E63" s="400">
        <v>0.8</v>
      </c>
      <c r="F63" s="400">
        <v>0.8</v>
      </c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85" customFormat="1" ht="45" customHeight="1" x14ac:dyDescent="0.35">
      <c r="A64" s="424"/>
      <c r="B64" s="111" t="s">
        <v>288</v>
      </c>
      <c r="C64" s="422"/>
      <c r="D64" s="423"/>
      <c r="E64" s="400"/>
      <c r="F64" s="400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85" customFormat="1" ht="45" customHeight="1" x14ac:dyDescent="0.35">
      <c r="A65" s="421" t="s">
        <v>289</v>
      </c>
      <c r="B65" s="112" t="s">
        <v>200</v>
      </c>
      <c r="C65" s="422" t="s">
        <v>95</v>
      </c>
      <c r="D65" s="423" t="s">
        <v>88</v>
      </c>
      <c r="E65" s="400">
        <v>0.5</v>
      </c>
      <c r="F65" s="400">
        <v>0.5</v>
      </c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85" customFormat="1" ht="45" customHeight="1" x14ac:dyDescent="0.35">
      <c r="A66" s="421"/>
      <c r="B66" s="113" t="s">
        <v>290</v>
      </c>
      <c r="C66" s="422"/>
      <c r="D66" s="423"/>
      <c r="E66" s="400"/>
      <c r="F66" s="400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85" customFormat="1" ht="45" customHeight="1" x14ac:dyDescent="0.35">
      <c r="A67" s="425" t="s">
        <v>291</v>
      </c>
      <c r="B67" s="426" t="s">
        <v>292</v>
      </c>
      <c r="C67" s="427"/>
      <c r="D67" s="423" t="s">
        <v>97</v>
      </c>
      <c r="E67" s="432">
        <v>0.6</v>
      </c>
      <c r="F67" s="432">
        <v>0.6</v>
      </c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85" customFormat="1" ht="45" customHeight="1" x14ac:dyDescent="0.35">
      <c r="A68" s="425"/>
      <c r="B68" s="430" t="s">
        <v>293</v>
      </c>
      <c r="C68" s="431"/>
      <c r="D68" s="423"/>
      <c r="E68" s="432"/>
      <c r="F68" s="432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85" customFormat="1" ht="79.5" customHeight="1" x14ac:dyDescent="0.35">
      <c r="A69" s="96" t="s">
        <v>34</v>
      </c>
      <c r="B69" s="361" t="s">
        <v>63</v>
      </c>
      <c r="C69" s="390"/>
      <c r="D69" s="97" t="s">
        <v>64</v>
      </c>
      <c r="E69" s="90" t="s">
        <v>328</v>
      </c>
      <c r="F69" s="90" t="s">
        <v>327</v>
      </c>
      <c r="G69" s="306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85" customFormat="1" ht="45" customHeight="1" x14ac:dyDescent="0.35">
      <c r="A70" s="425" t="s">
        <v>294</v>
      </c>
      <c r="B70" s="426" t="s">
        <v>295</v>
      </c>
      <c r="C70" s="427"/>
      <c r="D70" s="423" t="s">
        <v>89</v>
      </c>
      <c r="E70" s="428">
        <v>1.15E-2</v>
      </c>
      <c r="F70" s="429">
        <v>1.2</v>
      </c>
      <c r="I70" s="252"/>
      <c r="J70" s="63"/>
      <c r="M70" s="276"/>
      <c r="Q70" s="63"/>
      <c r="R70" s="63"/>
      <c r="S70" s="63"/>
    </row>
    <row r="71" spans="1:19" s="85" customFormat="1" ht="45" customHeight="1" x14ac:dyDescent="0.35">
      <c r="A71" s="425"/>
      <c r="B71" s="430" t="s">
        <v>296</v>
      </c>
      <c r="C71" s="431"/>
      <c r="D71" s="423"/>
      <c r="E71" s="428"/>
      <c r="F71" s="429"/>
      <c r="J71" s="63"/>
      <c r="Q71" s="63"/>
      <c r="R71" s="63"/>
      <c r="S71" s="63"/>
    </row>
    <row r="72" spans="1:19" s="85" customFormat="1" ht="45" customHeight="1" x14ac:dyDescent="0.35">
      <c r="A72" s="425" t="s">
        <v>297</v>
      </c>
      <c r="B72" s="100" t="s">
        <v>195</v>
      </c>
      <c r="C72" s="422" t="s">
        <v>95</v>
      </c>
      <c r="D72" s="423" t="s">
        <v>89</v>
      </c>
      <c r="E72" s="379">
        <v>4.4999999999999998E-2</v>
      </c>
      <c r="F72" s="379">
        <v>4.4999999999999998E-2</v>
      </c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ht="45" customHeight="1" x14ac:dyDescent="0.35">
      <c r="A73" s="425"/>
      <c r="B73" s="101" t="s">
        <v>295</v>
      </c>
      <c r="C73" s="422"/>
      <c r="D73" s="423"/>
      <c r="E73" s="379"/>
      <c r="F73" s="379"/>
    </row>
    <row r="74" spans="1:19" s="85" customFormat="1" ht="45" customHeight="1" x14ac:dyDescent="0.35">
      <c r="A74" s="425" t="s">
        <v>298</v>
      </c>
      <c r="B74" s="100" t="s">
        <v>299</v>
      </c>
      <c r="C74" s="422" t="s">
        <v>95</v>
      </c>
      <c r="D74" s="423" t="s">
        <v>89</v>
      </c>
      <c r="E74" s="428">
        <v>5.0000000000000001E-4</v>
      </c>
      <c r="F74" s="428">
        <v>1E-3</v>
      </c>
    </row>
    <row r="75" spans="1:19" s="85" customFormat="1" ht="45" customHeight="1" x14ac:dyDescent="0.35">
      <c r="A75" s="425"/>
      <c r="B75" s="101" t="s">
        <v>295</v>
      </c>
      <c r="C75" s="422"/>
      <c r="D75" s="423"/>
      <c r="E75" s="428"/>
      <c r="F75" s="428"/>
    </row>
    <row r="76" spans="1:19" s="85" customFormat="1" ht="79.5" customHeight="1" x14ac:dyDescent="0.35">
      <c r="A76" s="96" t="s">
        <v>35</v>
      </c>
      <c r="B76" s="361" t="s">
        <v>63</v>
      </c>
      <c r="C76" s="390"/>
      <c r="D76" s="97" t="s">
        <v>64</v>
      </c>
      <c r="E76" s="90" t="s">
        <v>328</v>
      </c>
      <c r="F76" s="90" t="s">
        <v>327</v>
      </c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ht="45" customHeight="1" x14ac:dyDescent="0.35">
      <c r="A77" s="425" t="s">
        <v>300</v>
      </c>
      <c r="B77" s="433" t="s">
        <v>301</v>
      </c>
      <c r="C77" s="434"/>
      <c r="D77" s="423" t="s">
        <v>302</v>
      </c>
      <c r="E77" s="435">
        <v>501.1</v>
      </c>
      <c r="F77" s="435">
        <v>495</v>
      </c>
      <c r="H77" s="274"/>
      <c r="I77" s="63"/>
    </row>
    <row r="78" spans="1:19" ht="45" customHeight="1" x14ac:dyDescent="0.35">
      <c r="A78" s="425"/>
      <c r="B78" s="403" t="s">
        <v>103</v>
      </c>
      <c r="C78" s="404"/>
      <c r="D78" s="423"/>
      <c r="E78" s="436"/>
      <c r="F78" s="436"/>
    </row>
    <row r="79" spans="1:19" ht="45" customHeight="1" x14ac:dyDescent="0.35">
      <c r="A79" s="425" t="s">
        <v>303</v>
      </c>
      <c r="B79" s="100" t="s">
        <v>304</v>
      </c>
      <c r="C79" s="422" t="s">
        <v>95</v>
      </c>
      <c r="D79" s="423" t="s">
        <v>305</v>
      </c>
      <c r="E79" s="400">
        <v>0.433</v>
      </c>
      <c r="F79" s="400">
        <v>0.41399999999999998</v>
      </c>
      <c r="H79" s="275"/>
    </row>
    <row r="80" spans="1:19" ht="45" customHeight="1" x14ac:dyDescent="0.35">
      <c r="A80" s="425"/>
      <c r="B80" s="101" t="s">
        <v>301</v>
      </c>
      <c r="C80" s="422"/>
      <c r="D80" s="423"/>
      <c r="E80" s="400"/>
      <c r="F80" s="400"/>
    </row>
    <row r="81" spans="1:19" ht="45" customHeight="1" x14ac:dyDescent="0.35">
      <c r="A81" s="405" t="s">
        <v>306</v>
      </c>
      <c r="B81" s="433" t="s">
        <v>198</v>
      </c>
      <c r="C81" s="434"/>
      <c r="D81" s="423" t="s">
        <v>97</v>
      </c>
      <c r="E81" s="435">
        <v>32</v>
      </c>
      <c r="F81" s="435">
        <v>32</v>
      </c>
    </row>
    <row r="82" spans="1:19" ht="45" customHeight="1" x14ac:dyDescent="0.35">
      <c r="A82" s="405"/>
      <c r="B82" s="403" t="s">
        <v>102</v>
      </c>
      <c r="C82" s="404"/>
      <c r="D82" s="423"/>
      <c r="E82" s="436"/>
      <c r="F82" s="436"/>
    </row>
    <row r="83" spans="1:19" ht="45" customHeight="1" x14ac:dyDescent="0.35">
      <c r="A83" s="425" t="s">
        <v>307</v>
      </c>
      <c r="B83" s="100" t="s">
        <v>199</v>
      </c>
      <c r="C83" s="422" t="s">
        <v>95</v>
      </c>
      <c r="D83" s="423" t="s">
        <v>96</v>
      </c>
      <c r="E83" s="379">
        <v>0.29399999999999998</v>
      </c>
      <c r="F83" s="379">
        <v>0.309</v>
      </c>
    </row>
    <row r="84" spans="1:19" s="85" customFormat="1" ht="45" customHeight="1" x14ac:dyDescent="0.35">
      <c r="A84" s="425"/>
      <c r="B84" s="101" t="s">
        <v>308</v>
      </c>
      <c r="C84" s="422"/>
      <c r="D84" s="423"/>
      <c r="E84" s="379"/>
      <c r="F84" s="379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85" customFormat="1" ht="45" customHeight="1" x14ac:dyDescent="0.35">
      <c r="A85" s="425" t="s">
        <v>309</v>
      </c>
      <c r="B85" s="100" t="s">
        <v>104</v>
      </c>
      <c r="C85" s="422" t="s">
        <v>95</v>
      </c>
      <c r="D85" s="423" t="s">
        <v>96</v>
      </c>
      <c r="E85" s="379">
        <v>0.51300000000000001</v>
      </c>
      <c r="F85" s="379">
        <v>0.51</v>
      </c>
      <c r="I85" s="250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85" customFormat="1" ht="45" customHeight="1" x14ac:dyDescent="0.35">
      <c r="A86" s="425"/>
      <c r="B86" s="101" t="s">
        <v>310</v>
      </c>
      <c r="C86" s="422"/>
      <c r="D86" s="423"/>
      <c r="E86" s="379"/>
      <c r="F86" s="379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85" customFormat="1" ht="79.5" hidden="1" customHeight="1" x14ac:dyDescent="0.35">
      <c r="A87" s="96" t="s">
        <v>36</v>
      </c>
      <c r="B87" s="361" t="s">
        <v>63</v>
      </c>
      <c r="C87" s="390"/>
      <c r="D87" s="97" t="s">
        <v>64</v>
      </c>
      <c r="E87" s="90" t="s">
        <v>328</v>
      </c>
      <c r="F87" s="90" t="s">
        <v>327</v>
      </c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85" customFormat="1" ht="45" hidden="1" customHeight="1" x14ac:dyDescent="0.35">
      <c r="A88" s="405" t="s">
        <v>311</v>
      </c>
      <c r="B88" s="100" t="s">
        <v>312</v>
      </c>
      <c r="C88" s="440" t="s">
        <v>95</v>
      </c>
      <c r="D88" s="441" t="s">
        <v>305</v>
      </c>
      <c r="E88" s="393"/>
      <c r="F88" s="400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85" customFormat="1" ht="45" hidden="1" customHeight="1" x14ac:dyDescent="0.35">
      <c r="A89" s="405"/>
      <c r="B89" s="101" t="s">
        <v>313</v>
      </c>
      <c r="C89" s="440"/>
      <c r="D89" s="441"/>
      <c r="E89" s="394"/>
      <c r="F89" s="400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85" customFormat="1" ht="45" hidden="1" customHeight="1" x14ac:dyDescent="0.35">
      <c r="A90" s="405" t="s">
        <v>314</v>
      </c>
      <c r="B90" s="100" t="s">
        <v>315</v>
      </c>
      <c r="C90" s="440" t="s">
        <v>95</v>
      </c>
      <c r="D90" s="441" t="s">
        <v>305</v>
      </c>
      <c r="E90" s="393"/>
      <c r="F90" s="400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85" customFormat="1" ht="45" hidden="1" customHeight="1" x14ac:dyDescent="0.35">
      <c r="A91" s="405"/>
      <c r="B91" s="101" t="s">
        <v>316</v>
      </c>
      <c r="C91" s="440"/>
      <c r="D91" s="441"/>
      <c r="E91" s="394"/>
      <c r="F91" s="400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85" customFormat="1" ht="45" hidden="1" customHeight="1" x14ac:dyDescent="0.35">
      <c r="A92" s="405" t="s">
        <v>317</v>
      </c>
      <c r="B92" s="100" t="s">
        <v>318</v>
      </c>
      <c r="C92" s="440" t="s">
        <v>95</v>
      </c>
      <c r="D92" s="441" t="s">
        <v>305</v>
      </c>
      <c r="E92" s="393"/>
      <c r="F92" s="400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85" customFormat="1" ht="45" hidden="1" customHeight="1" x14ac:dyDescent="0.35">
      <c r="A93" s="405"/>
      <c r="B93" s="101" t="s">
        <v>316</v>
      </c>
      <c r="C93" s="440"/>
      <c r="D93" s="441"/>
      <c r="E93" s="394"/>
      <c r="F93" s="400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85" customFormat="1" ht="79.5" customHeight="1" x14ac:dyDescent="0.35">
      <c r="A94" s="96" t="s">
        <v>37</v>
      </c>
      <c r="B94" s="361" t="s">
        <v>63</v>
      </c>
      <c r="C94" s="390"/>
      <c r="D94" s="97" t="s">
        <v>64</v>
      </c>
      <c r="E94" s="90" t="s">
        <v>328</v>
      </c>
      <c r="F94" s="90" t="s">
        <v>327</v>
      </c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85" customFormat="1" ht="45" customHeight="1" x14ac:dyDescent="0.35">
      <c r="A95" s="425" t="s">
        <v>319</v>
      </c>
      <c r="B95" s="454" t="s">
        <v>105</v>
      </c>
      <c r="C95" s="454"/>
      <c r="D95" s="423" t="s">
        <v>88</v>
      </c>
      <c r="E95" s="437">
        <v>5</v>
      </c>
      <c r="F95" s="437">
        <v>5</v>
      </c>
      <c r="G95" s="64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85" customFormat="1" ht="45" customHeight="1" x14ac:dyDescent="0.35">
      <c r="A96" s="425"/>
      <c r="B96" s="439" t="s">
        <v>106</v>
      </c>
      <c r="C96" s="439"/>
      <c r="D96" s="423"/>
      <c r="E96" s="438"/>
      <c r="F96" s="438"/>
      <c r="G96" s="64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85" customFormat="1" ht="79.5" hidden="1" customHeight="1" x14ac:dyDescent="0.35">
      <c r="A97" s="96" t="s">
        <v>38</v>
      </c>
      <c r="B97" s="361" t="s">
        <v>63</v>
      </c>
      <c r="C97" s="390"/>
      <c r="D97" s="97" t="s">
        <v>64</v>
      </c>
      <c r="E97" s="90" t="s">
        <v>328</v>
      </c>
      <c r="F97" s="90" t="s">
        <v>327</v>
      </c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85" customFormat="1" ht="90" hidden="1" customHeight="1" x14ac:dyDescent="0.35">
      <c r="A98" s="114" t="s">
        <v>320</v>
      </c>
      <c r="B98" s="453" t="s">
        <v>321</v>
      </c>
      <c r="C98" s="411"/>
      <c r="D98" s="115" t="s">
        <v>88</v>
      </c>
      <c r="E98" s="116"/>
      <c r="F98" s="117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85" customFormat="1" ht="45" hidden="1" customHeight="1" x14ac:dyDescent="0.35">
      <c r="A99" s="405" t="s">
        <v>322</v>
      </c>
      <c r="B99" s="100" t="s">
        <v>323</v>
      </c>
      <c r="C99" s="449" t="s">
        <v>95</v>
      </c>
      <c r="D99" s="451" t="s">
        <v>97</v>
      </c>
      <c r="E99" s="393"/>
      <c r="F99" s="400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85" customFormat="1" ht="45" hidden="1" customHeight="1" x14ac:dyDescent="0.35">
      <c r="A100" s="405"/>
      <c r="B100" s="101" t="s">
        <v>324</v>
      </c>
      <c r="C100" s="450"/>
      <c r="D100" s="451"/>
      <c r="E100" s="394"/>
      <c r="F100" s="400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85" customFormat="1" ht="79.5" hidden="1" customHeight="1" x14ac:dyDescent="0.35">
      <c r="A101" s="96" t="s">
        <v>39</v>
      </c>
      <c r="B101" s="361" t="s">
        <v>63</v>
      </c>
      <c r="C101" s="390"/>
      <c r="D101" s="97" t="s">
        <v>64</v>
      </c>
      <c r="E101" s="90" t="s">
        <v>328</v>
      </c>
      <c r="F101" s="90" t="s">
        <v>327</v>
      </c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85" customFormat="1" ht="45" hidden="1" customHeight="1" x14ac:dyDescent="0.35">
      <c r="A102" s="448" t="s">
        <v>325</v>
      </c>
      <c r="B102" s="118" t="s">
        <v>196</v>
      </c>
      <c r="C102" s="449" t="s">
        <v>95</v>
      </c>
      <c r="D102" s="451" t="s">
        <v>97</v>
      </c>
      <c r="E102" s="393"/>
      <c r="F102" s="400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ht="45" hidden="1" customHeight="1" x14ac:dyDescent="0.35">
      <c r="A103" s="405"/>
      <c r="B103" s="119" t="s">
        <v>107</v>
      </c>
      <c r="C103" s="450"/>
      <c r="D103" s="452"/>
      <c r="E103" s="394"/>
      <c r="F103" s="400"/>
    </row>
    <row r="104" spans="1:19" ht="45" hidden="1" customHeight="1" x14ac:dyDescent="0.35">
      <c r="A104" s="396" t="s">
        <v>326</v>
      </c>
      <c r="B104" s="120" t="s">
        <v>197</v>
      </c>
      <c r="C104" s="443" t="s">
        <v>95</v>
      </c>
      <c r="D104" s="414" t="s">
        <v>305</v>
      </c>
      <c r="E104" s="393"/>
      <c r="F104" s="400"/>
    </row>
    <row r="105" spans="1:19" ht="45" hidden="1" customHeight="1" thickBot="1" x14ac:dyDescent="0.4">
      <c r="A105" s="442"/>
      <c r="B105" s="121" t="s">
        <v>108</v>
      </c>
      <c r="C105" s="444"/>
      <c r="D105" s="445"/>
      <c r="E105" s="446"/>
      <c r="F105" s="447"/>
    </row>
    <row r="106" spans="1:19" ht="45" customHeight="1" x14ac:dyDescent="0.35"/>
    <row r="107" spans="1:19" ht="45" customHeight="1" x14ac:dyDescent="0.35"/>
    <row r="108" spans="1:19" ht="45" customHeight="1" x14ac:dyDescent="0.35"/>
    <row r="109" spans="1:19" ht="45" customHeight="1" x14ac:dyDescent="0.35"/>
    <row r="110" spans="1:19" ht="45" customHeight="1" x14ac:dyDescent="0.35"/>
    <row r="111" spans="1:19" ht="45" customHeight="1" x14ac:dyDescent="0.35"/>
    <row r="112" spans="1:19" ht="45" customHeight="1" x14ac:dyDescent="0.35"/>
    <row r="113" ht="45" customHeight="1" x14ac:dyDescent="0.35"/>
    <row r="114" ht="45" customHeight="1" x14ac:dyDescent="0.35"/>
  </sheetData>
  <mergeCells count="232">
    <mergeCell ref="B97:C97"/>
    <mergeCell ref="B98:C98"/>
    <mergeCell ref="A99:A100"/>
    <mergeCell ref="C99:C100"/>
    <mergeCell ref="D99:D100"/>
    <mergeCell ref="E99:E100"/>
    <mergeCell ref="A95:A96"/>
    <mergeCell ref="B95:C95"/>
    <mergeCell ref="D95:D96"/>
    <mergeCell ref="E95:E96"/>
    <mergeCell ref="A104:A105"/>
    <mergeCell ref="C104:C105"/>
    <mergeCell ref="D104:D105"/>
    <mergeCell ref="E104:E105"/>
    <mergeCell ref="F104:F105"/>
    <mergeCell ref="F99:F100"/>
    <mergeCell ref="B101:C101"/>
    <mergeCell ref="A102:A103"/>
    <mergeCell ref="C102:C103"/>
    <mergeCell ref="D102:D103"/>
    <mergeCell ref="E102:E103"/>
    <mergeCell ref="F102:F103"/>
    <mergeCell ref="F95:F96"/>
    <mergeCell ref="B96:C96"/>
    <mergeCell ref="A92:A93"/>
    <mergeCell ref="C92:C93"/>
    <mergeCell ref="D92:D93"/>
    <mergeCell ref="E92:E93"/>
    <mergeCell ref="F92:F93"/>
    <mergeCell ref="B94:C94"/>
    <mergeCell ref="A88:A89"/>
    <mergeCell ref="C88:C89"/>
    <mergeCell ref="D88:D89"/>
    <mergeCell ref="E88:E89"/>
    <mergeCell ref="F88:F89"/>
    <mergeCell ref="A90:A91"/>
    <mergeCell ref="C90:C91"/>
    <mergeCell ref="D90:D91"/>
    <mergeCell ref="E90:E91"/>
    <mergeCell ref="F90:F91"/>
    <mergeCell ref="A85:A86"/>
    <mergeCell ref="C85:C86"/>
    <mergeCell ref="D85:D86"/>
    <mergeCell ref="E85:E86"/>
    <mergeCell ref="F85:F86"/>
    <mergeCell ref="B87:C87"/>
    <mergeCell ref="B82:C82"/>
    <mergeCell ref="A83:A84"/>
    <mergeCell ref="C83:C84"/>
    <mergeCell ref="D83:D84"/>
    <mergeCell ref="E83:E84"/>
    <mergeCell ref="F83:F84"/>
    <mergeCell ref="A79:A80"/>
    <mergeCell ref="C79:C80"/>
    <mergeCell ref="D79:D80"/>
    <mergeCell ref="E79:E80"/>
    <mergeCell ref="F79:F80"/>
    <mergeCell ref="A81:A82"/>
    <mergeCell ref="B81:C81"/>
    <mergeCell ref="D81:D82"/>
    <mergeCell ref="E81:E82"/>
    <mergeCell ref="F81:F82"/>
    <mergeCell ref="B76:C76"/>
    <mergeCell ref="A77:A78"/>
    <mergeCell ref="B77:C77"/>
    <mergeCell ref="D77:D78"/>
    <mergeCell ref="E77:E78"/>
    <mergeCell ref="F77:F78"/>
    <mergeCell ref="B78:C78"/>
    <mergeCell ref="A72:A73"/>
    <mergeCell ref="C72:C73"/>
    <mergeCell ref="D72:D73"/>
    <mergeCell ref="E72:E73"/>
    <mergeCell ref="F72:F73"/>
    <mergeCell ref="A74:A75"/>
    <mergeCell ref="C74:C75"/>
    <mergeCell ref="D74:D75"/>
    <mergeCell ref="E74:E75"/>
    <mergeCell ref="F74:F75"/>
    <mergeCell ref="B69:C69"/>
    <mergeCell ref="A70:A71"/>
    <mergeCell ref="B70:C70"/>
    <mergeCell ref="D70:D71"/>
    <mergeCell ref="E70:E71"/>
    <mergeCell ref="F70:F71"/>
    <mergeCell ref="B71:C71"/>
    <mergeCell ref="A67:A68"/>
    <mergeCell ref="B67:C67"/>
    <mergeCell ref="D67:D68"/>
    <mergeCell ref="E67:E68"/>
    <mergeCell ref="F67:F68"/>
    <mergeCell ref="B68:C68"/>
    <mergeCell ref="F63:F64"/>
    <mergeCell ref="A65:A66"/>
    <mergeCell ref="C65:C66"/>
    <mergeCell ref="D65:D66"/>
    <mergeCell ref="E65:E66"/>
    <mergeCell ref="F65:F66"/>
    <mergeCell ref="B61:C61"/>
    <mergeCell ref="B62:C62"/>
    <mergeCell ref="A63:A64"/>
    <mergeCell ref="C63:C64"/>
    <mergeCell ref="D63:D64"/>
    <mergeCell ref="E63:E64"/>
    <mergeCell ref="F57:F58"/>
    <mergeCell ref="A59:A60"/>
    <mergeCell ref="C59:C60"/>
    <mergeCell ref="D59:D60"/>
    <mergeCell ref="E59:E60"/>
    <mergeCell ref="F59:F60"/>
    <mergeCell ref="B55:C55"/>
    <mergeCell ref="B56:C56"/>
    <mergeCell ref="A57:A58"/>
    <mergeCell ref="C57:C58"/>
    <mergeCell ref="D57:D58"/>
    <mergeCell ref="E57:E58"/>
    <mergeCell ref="E51:E52"/>
    <mergeCell ref="F51:F52"/>
    <mergeCell ref="A53:A54"/>
    <mergeCell ref="C53:C54"/>
    <mergeCell ref="D53:D54"/>
    <mergeCell ref="E53:E54"/>
    <mergeCell ref="F53:F54"/>
    <mergeCell ref="B48:C48"/>
    <mergeCell ref="B49:C49"/>
    <mergeCell ref="B50:C50"/>
    <mergeCell ref="A51:A52"/>
    <mergeCell ref="C51:C52"/>
    <mergeCell ref="D51:D52"/>
    <mergeCell ref="B45:C45"/>
    <mergeCell ref="A46:A47"/>
    <mergeCell ref="C46:C47"/>
    <mergeCell ref="D46:D47"/>
    <mergeCell ref="E46:E47"/>
    <mergeCell ref="F46:F47"/>
    <mergeCell ref="A42:A43"/>
    <mergeCell ref="C42:C43"/>
    <mergeCell ref="D42:D43"/>
    <mergeCell ref="E42:E43"/>
    <mergeCell ref="F42:F43"/>
    <mergeCell ref="A44:A45"/>
    <mergeCell ref="B44:C44"/>
    <mergeCell ref="D44:D45"/>
    <mergeCell ref="E44:E45"/>
    <mergeCell ref="F44:F45"/>
    <mergeCell ref="B39:C39"/>
    <mergeCell ref="A40:A41"/>
    <mergeCell ref="C40:C41"/>
    <mergeCell ref="D40:D41"/>
    <mergeCell ref="E40:E41"/>
    <mergeCell ref="F40:F41"/>
    <mergeCell ref="A35:A36"/>
    <mergeCell ref="C35:C36"/>
    <mergeCell ref="D35:D36"/>
    <mergeCell ref="E35:E36"/>
    <mergeCell ref="F35:F36"/>
    <mergeCell ref="A37:A38"/>
    <mergeCell ref="C37:C38"/>
    <mergeCell ref="D37:D38"/>
    <mergeCell ref="E37:E38"/>
    <mergeCell ref="F37:F38"/>
    <mergeCell ref="B32:C32"/>
    <mergeCell ref="A33:A34"/>
    <mergeCell ref="C33:C34"/>
    <mergeCell ref="D33:D34"/>
    <mergeCell ref="E33:E34"/>
    <mergeCell ref="F33:F34"/>
    <mergeCell ref="A28:A29"/>
    <mergeCell ref="C28:C29"/>
    <mergeCell ref="D28:D29"/>
    <mergeCell ref="E28:E29"/>
    <mergeCell ref="F28:F29"/>
    <mergeCell ref="A30:A31"/>
    <mergeCell ref="C30:C31"/>
    <mergeCell ref="D30:D31"/>
    <mergeCell ref="E30:E31"/>
    <mergeCell ref="F30:F31"/>
    <mergeCell ref="A24:A25"/>
    <mergeCell ref="C24:C25"/>
    <mergeCell ref="D24:D25"/>
    <mergeCell ref="E24:E25"/>
    <mergeCell ref="F24:F25"/>
    <mergeCell ref="A26:A27"/>
    <mergeCell ref="C26:C27"/>
    <mergeCell ref="D26:D27"/>
    <mergeCell ref="E26:E27"/>
    <mergeCell ref="F26:F27"/>
    <mergeCell ref="A20:A21"/>
    <mergeCell ref="C20:C21"/>
    <mergeCell ref="D20:D21"/>
    <mergeCell ref="E20:E21"/>
    <mergeCell ref="F20:F21"/>
    <mergeCell ref="A22:A23"/>
    <mergeCell ref="C22:C23"/>
    <mergeCell ref="D22:D23"/>
    <mergeCell ref="E22:E23"/>
    <mergeCell ref="F22:F23"/>
    <mergeCell ref="B17:C17"/>
    <mergeCell ref="A18:A19"/>
    <mergeCell ref="C18:C19"/>
    <mergeCell ref="D18:D19"/>
    <mergeCell ref="E18:E19"/>
    <mergeCell ref="F18:F19"/>
    <mergeCell ref="A14:A15"/>
    <mergeCell ref="C14:C15"/>
    <mergeCell ref="D14:D15"/>
    <mergeCell ref="E14:E15"/>
    <mergeCell ref="F14:F15"/>
    <mergeCell ref="A16:A17"/>
    <mergeCell ref="B16:C16"/>
    <mergeCell ref="D16:D17"/>
    <mergeCell ref="E16:E17"/>
    <mergeCell ref="F16:F17"/>
    <mergeCell ref="A1:F1"/>
    <mergeCell ref="A2:F2"/>
    <mergeCell ref="A3:F3"/>
    <mergeCell ref="A5:F5"/>
    <mergeCell ref="B6:C6"/>
    <mergeCell ref="A7:A8"/>
    <mergeCell ref="C7:C8"/>
    <mergeCell ref="D7:D8"/>
    <mergeCell ref="E7:E8"/>
    <mergeCell ref="F7:F8"/>
    <mergeCell ref="J3:U8"/>
    <mergeCell ref="I3:I8"/>
    <mergeCell ref="A10:F10"/>
    <mergeCell ref="B11:C11"/>
    <mergeCell ref="A12:A13"/>
    <mergeCell ref="C12:C13"/>
    <mergeCell ref="D12:D13"/>
    <mergeCell ref="E12:E13"/>
    <mergeCell ref="F12:F13"/>
  </mergeCells>
  <pageMargins left="0.511811024" right="0.511811024" top="0.78740157499999996" bottom="0.78740157499999996" header="0.31496062000000002" footer="0.31496062000000002"/>
  <pageSetup paperSize="9" scale="18" orientation="portrait" r:id="rId1"/>
  <rowBreaks count="2" manualBreakCount="2">
    <brk id="61" max="4" man="1"/>
    <brk id="75" max="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 filterMode="1">
    <tabColor rgb="FF777777"/>
    <pageSetUpPr fitToPage="1"/>
  </sheetPr>
  <dimension ref="A1:AY56"/>
  <sheetViews>
    <sheetView showGridLines="0" topLeftCell="A38" zoomScale="40" zoomScaleNormal="40" zoomScaleSheetLayoutView="80" workbookViewId="0">
      <selection activeCell="M51" sqref="M51"/>
    </sheetView>
  </sheetViews>
  <sheetFormatPr defaultColWidth="9.140625" defaultRowHeight="23.25" x14ac:dyDescent="0.35"/>
  <cols>
    <col min="1" max="1" width="28.7109375" style="1" customWidth="1"/>
    <col min="2" max="2" width="10.42578125" style="1" customWidth="1"/>
    <col min="3" max="3" width="23.42578125" style="1" customWidth="1"/>
    <col min="4" max="4" width="10.5703125" style="1" customWidth="1"/>
    <col min="5" max="5" width="45.85546875" style="1" customWidth="1"/>
    <col min="6" max="6" width="40" style="1" customWidth="1"/>
    <col min="7" max="7" width="57.5703125" style="1" customWidth="1"/>
    <col min="8" max="8" width="54" style="1" customWidth="1"/>
    <col min="9" max="9" width="50.140625" style="1" customWidth="1"/>
    <col min="10" max="12" width="28.28515625" style="1" customWidth="1"/>
    <col min="13" max="14" width="28.7109375" style="1" customWidth="1"/>
    <col min="15" max="16" width="27.28515625" style="1" hidden="1" customWidth="1"/>
    <col min="17" max="17" width="24.28515625" style="1" hidden="1" customWidth="1"/>
    <col min="18" max="18" width="29.28515625" style="1" hidden="1" customWidth="1"/>
    <col min="19" max="20" width="15.5703125" style="1" hidden="1" customWidth="1"/>
    <col min="21" max="21" width="27" style="1" hidden="1" customWidth="1"/>
    <col min="22" max="22" width="18.7109375" style="1" hidden="1" customWidth="1"/>
    <col min="23" max="25" width="15.5703125" style="1" hidden="1" customWidth="1"/>
    <col min="26" max="26" width="20.42578125" style="223" hidden="1" customWidth="1"/>
    <col min="27" max="27" width="25.28515625" style="223" hidden="1" customWidth="1"/>
    <col min="28" max="28" width="25.28515625" style="224" hidden="1" customWidth="1"/>
    <col min="29" max="29" width="22.140625" style="124" hidden="1" customWidth="1"/>
    <col min="30" max="30" width="24.5703125" style="1" customWidth="1"/>
    <col min="31" max="31" width="8.5703125" style="1" customWidth="1"/>
    <col min="32" max="33" width="9.140625" style="1"/>
    <col min="34" max="34" width="22.140625" style="1" bestFit="1" customWidth="1"/>
    <col min="35" max="35" width="9.140625" style="1"/>
    <col min="36" max="36" width="15.42578125" style="1" bestFit="1" customWidth="1"/>
    <col min="37" max="16384" width="9.140625" style="1"/>
  </cols>
  <sheetData>
    <row r="1" spans="1:51" x14ac:dyDescent="0.35">
      <c r="AC1" s="228"/>
      <c r="AD1" s="229"/>
      <c r="AE1" s="229"/>
      <c r="AF1" s="229"/>
    </row>
    <row r="2" spans="1:51" s="2" customFormat="1" ht="54" customHeight="1" x14ac:dyDescent="0.25">
      <c r="A2" s="455" t="str">
        <f>'Indicadores e Metas'!A2:F2</f>
        <v>CAU/BA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7"/>
      <c r="Z2" s="227"/>
      <c r="AA2" s="227"/>
      <c r="AB2" s="222"/>
      <c r="AC2" s="230"/>
      <c r="AD2" s="231"/>
      <c r="AE2" s="231" t="s">
        <v>388</v>
      </c>
      <c r="AF2" s="231" t="s">
        <v>391</v>
      </c>
    </row>
    <row r="3" spans="1:51" s="2" customFormat="1" ht="45" customHeight="1" x14ac:dyDescent="0.25">
      <c r="A3" s="455" t="s">
        <v>335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7"/>
      <c r="Z3" s="227"/>
      <c r="AA3" s="227"/>
      <c r="AB3" s="222"/>
      <c r="AC3" s="230"/>
      <c r="AD3" s="231"/>
      <c r="AE3" s="231" t="s">
        <v>389</v>
      </c>
      <c r="AF3" s="231" t="s">
        <v>392</v>
      </c>
    </row>
    <row r="4" spans="1:51" s="7" customFormat="1" ht="32.25" customHeight="1" x14ac:dyDescent="0.3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Z4" s="223"/>
      <c r="AA4" s="223"/>
      <c r="AB4" s="223"/>
      <c r="AC4" s="232"/>
      <c r="AD4" s="233"/>
      <c r="AE4" s="233" t="s">
        <v>390</v>
      </c>
      <c r="AF4" s="231" t="s">
        <v>393</v>
      </c>
    </row>
    <row r="5" spans="1:51" s="2" customFormat="1" ht="62.25" customHeight="1" x14ac:dyDescent="0.25">
      <c r="A5" s="464" t="s">
        <v>76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 t="s">
        <v>23</v>
      </c>
      <c r="Z5" s="227"/>
      <c r="AA5" s="227"/>
      <c r="AB5" s="222"/>
      <c r="AC5" s="230"/>
      <c r="AD5" s="231"/>
      <c r="AE5" s="231"/>
      <c r="AF5" s="231" t="s">
        <v>394</v>
      </c>
      <c r="AG5" s="194"/>
      <c r="AH5" s="194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</row>
    <row r="6" spans="1:51" s="2" customFormat="1" ht="54" customHeight="1" x14ac:dyDescent="0.25">
      <c r="A6" s="460" t="s">
        <v>4</v>
      </c>
      <c r="B6" s="460" t="s">
        <v>188</v>
      </c>
      <c r="C6" s="460" t="s">
        <v>190</v>
      </c>
      <c r="D6" s="460" t="s">
        <v>191</v>
      </c>
      <c r="E6" s="460" t="s">
        <v>5</v>
      </c>
      <c r="F6" s="460" t="s">
        <v>60</v>
      </c>
      <c r="G6" s="460" t="s">
        <v>41</v>
      </c>
      <c r="H6" s="460" t="s">
        <v>182</v>
      </c>
      <c r="I6" s="460" t="s">
        <v>77</v>
      </c>
      <c r="J6" s="460" t="s">
        <v>329</v>
      </c>
      <c r="K6" s="458" t="s">
        <v>330</v>
      </c>
      <c r="L6" s="459"/>
      <c r="M6" s="472" t="s">
        <v>333</v>
      </c>
      <c r="N6" s="462" t="s">
        <v>206</v>
      </c>
      <c r="O6" s="470" t="s">
        <v>207</v>
      </c>
      <c r="P6" s="470" t="s">
        <v>208</v>
      </c>
      <c r="Q6" s="458" t="s">
        <v>334</v>
      </c>
      <c r="R6" s="459"/>
      <c r="Z6" s="227"/>
      <c r="AA6" s="227"/>
      <c r="AB6" s="222"/>
      <c r="AC6" s="230"/>
      <c r="AD6" s="231"/>
      <c r="AE6" s="231"/>
      <c r="AF6" s="231" t="s">
        <v>395</v>
      </c>
      <c r="AG6" s="194"/>
      <c r="AH6" s="194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</row>
    <row r="7" spans="1:51" s="2" customFormat="1" ht="95.25" hidden="1" customHeight="1" x14ac:dyDescent="0.25">
      <c r="A7" s="461"/>
      <c r="B7" s="461"/>
      <c r="C7" s="461"/>
      <c r="D7" s="461"/>
      <c r="E7" s="461"/>
      <c r="F7" s="461"/>
      <c r="G7" s="461"/>
      <c r="H7" s="461"/>
      <c r="I7" s="461"/>
      <c r="J7" s="461"/>
      <c r="K7" s="77" t="s">
        <v>331</v>
      </c>
      <c r="L7" s="78" t="s">
        <v>332</v>
      </c>
      <c r="M7" s="460"/>
      <c r="N7" s="463"/>
      <c r="O7" s="471"/>
      <c r="P7" s="471"/>
      <c r="Q7" s="125" t="s">
        <v>209</v>
      </c>
      <c r="R7" s="125" t="s">
        <v>210</v>
      </c>
      <c r="Z7" s="285" t="s">
        <v>511</v>
      </c>
      <c r="AA7" s="227" t="s">
        <v>512</v>
      </c>
      <c r="AB7" s="222" t="s">
        <v>513</v>
      </c>
      <c r="AC7" s="231"/>
      <c r="AD7" s="231"/>
      <c r="AE7" s="231"/>
      <c r="AF7" s="231" t="s">
        <v>390</v>
      </c>
      <c r="AG7" s="194"/>
      <c r="AH7" s="194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</row>
    <row r="8" spans="1:51" s="2" customFormat="1" ht="179.25" customHeight="1" x14ac:dyDescent="0.25">
      <c r="A8" s="196" t="s">
        <v>398</v>
      </c>
      <c r="B8" s="197" t="s">
        <v>389</v>
      </c>
      <c r="C8" s="20" t="s">
        <v>391</v>
      </c>
      <c r="D8" s="20"/>
      <c r="E8" s="196" t="s">
        <v>414</v>
      </c>
      <c r="F8" s="196" t="s">
        <v>444</v>
      </c>
      <c r="G8" s="196" t="s">
        <v>32</v>
      </c>
      <c r="H8" s="21"/>
      <c r="I8" s="196" t="s">
        <v>474</v>
      </c>
      <c r="J8" s="198">
        <v>161246.01999999999</v>
      </c>
      <c r="K8" s="198">
        <v>25014.79</v>
      </c>
      <c r="L8" s="198">
        <f>161246.02-K8</f>
        <v>136231.22999999998</v>
      </c>
      <c r="M8" s="198">
        <f>K8+L8</f>
        <v>161246.01999999999</v>
      </c>
      <c r="N8" s="33"/>
      <c r="O8" s="80"/>
      <c r="P8" s="80">
        <f>IFERROR(O8/M8*100,)</f>
        <v>0</v>
      </c>
      <c r="Q8" s="35">
        <f>M8-J8</f>
        <v>0</v>
      </c>
      <c r="R8" s="277">
        <f>IFERROR(Q8/J8*100,)</f>
        <v>0</v>
      </c>
      <c r="S8" s="2" t="b">
        <f>[2]FORM.2!$A$6=A8</f>
        <v>1</v>
      </c>
      <c r="T8" s="2" t="b">
        <f>E8=[2]FORM.2!$D$6</f>
        <v>1</v>
      </c>
      <c r="U8" s="2" t="b">
        <f>F8=[2]FORM.2!$E$6</f>
        <v>1</v>
      </c>
      <c r="V8" s="2" t="b">
        <f>G8=[2]FORM.2!$F$6</f>
        <v>1</v>
      </c>
      <c r="W8" s="2" t="b">
        <f>H8=[2]FORM.2!$G$6</f>
        <v>1</v>
      </c>
      <c r="X8" s="2" t="b">
        <f>I8=[2]FORM.2!$H$6</f>
        <v>1</v>
      </c>
      <c r="Y8" s="2" t="b">
        <f>M8=[2]FORM.2!$J$6</f>
        <v>1</v>
      </c>
      <c r="Z8" s="253" t="e">
        <f>#REF!</f>
        <v>#REF!</v>
      </c>
      <c r="AA8" s="279" t="e">
        <f>AB8-Z8</f>
        <v>#REF!</v>
      </c>
      <c r="AB8" s="254">
        <f>M8</f>
        <v>161246.01999999999</v>
      </c>
      <c r="AG8" s="194"/>
      <c r="AH8" s="194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</row>
    <row r="9" spans="1:51" s="2" customFormat="1" ht="209.25" x14ac:dyDescent="0.25">
      <c r="A9" s="196" t="s">
        <v>399</v>
      </c>
      <c r="B9" s="197" t="s">
        <v>389</v>
      </c>
      <c r="C9" s="20" t="s">
        <v>393</v>
      </c>
      <c r="D9" s="20"/>
      <c r="E9" s="196" t="s">
        <v>415</v>
      </c>
      <c r="F9" s="196" t="s">
        <v>445</v>
      </c>
      <c r="G9" s="196" t="s">
        <v>38</v>
      </c>
      <c r="H9" s="21"/>
      <c r="I9" s="196" t="s">
        <v>475</v>
      </c>
      <c r="J9" s="198">
        <v>642221.98</v>
      </c>
      <c r="K9" s="198">
        <v>197574.29</v>
      </c>
      <c r="L9" s="198">
        <f>J9-K9+22000</f>
        <v>466647.68999999994</v>
      </c>
      <c r="M9" s="198">
        <f t="shared" ref="M9:M38" si="0">K9+L9</f>
        <v>664221.98</v>
      </c>
      <c r="N9" s="33"/>
      <c r="O9" s="80"/>
      <c r="P9" s="80">
        <f t="shared" ref="P9:P29" si="1">IFERROR(O9/M9*100,)</f>
        <v>0</v>
      </c>
      <c r="Q9" s="35">
        <f>M9-J9</f>
        <v>22000</v>
      </c>
      <c r="R9" s="277">
        <f t="shared" ref="R9:R39" si="2">IFERROR(Q9/J9*100,)</f>
        <v>3.4256068283430601</v>
      </c>
      <c r="S9" s="2" t="b">
        <f>[2]FORM.2!$A$7=A9</f>
        <v>1</v>
      </c>
      <c r="T9" s="2" t="b">
        <f>E9=[2]FORM.2!$D$7</f>
        <v>1</v>
      </c>
      <c r="U9" s="2" t="b">
        <f>F9=[2]FORM.2!$E$7</f>
        <v>1</v>
      </c>
      <c r="V9" s="2" t="b">
        <f>G9=[2]FORM.2!$F$7</f>
        <v>1</v>
      </c>
      <c r="W9" s="2" t="b">
        <f>H9=[2]FORM.2!$G$6</f>
        <v>1</v>
      </c>
      <c r="X9" s="2" t="b">
        <f>I9=[2]FORM.2!$H$7</f>
        <v>1</v>
      </c>
      <c r="Y9" s="2" t="b">
        <f>J9=[2]FORM.2!$J$7</f>
        <v>1</v>
      </c>
      <c r="Z9" s="253" t="e">
        <f>#REF!</f>
        <v>#REF!</v>
      </c>
      <c r="AA9" s="279" t="e">
        <f t="shared" ref="AA9:AA38" si="3">AB9-Z9</f>
        <v>#REF!</v>
      </c>
      <c r="AB9" s="254">
        <f t="shared" ref="AB9:AB38" si="4">M9</f>
        <v>664221.98</v>
      </c>
      <c r="AG9" s="194"/>
      <c r="AH9" s="194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</row>
    <row r="10" spans="1:51" s="2" customFormat="1" ht="147.75" customHeight="1" x14ac:dyDescent="0.25">
      <c r="A10" s="196" t="s">
        <v>400</v>
      </c>
      <c r="B10" s="197" t="s">
        <v>389</v>
      </c>
      <c r="C10" s="20" t="s">
        <v>391</v>
      </c>
      <c r="D10" s="20"/>
      <c r="E10" s="196" t="s">
        <v>416</v>
      </c>
      <c r="F10" s="196" t="s">
        <v>446</v>
      </c>
      <c r="G10" s="196" t="s">
        <v>134</v>
      </c>
      <c r="H10" s="21"/>
      <c r="I10" s="196" t="s">
        <v>476</v>
      </c>
      <c r="J10" s="198">
        <v>218623.73</v>
      </c>
      <c r="K10" s="198">
        <v>67578.3</v>
      </c>
      <c r="L10" s="198">
        <f>J10-K10</f>
        <v>151045.43</v>
      </c>
      <c r="M10" s="198">
        <f t="shared" si="0"/>
        <v>218623.72999999998</v>
      </c>
      <c r="N10" s="33"/>
      <c r="O10" s="80"/>
      <c r="P10" s="80">
        <f t="shared" si="1"/>
        <v>0</v>
      </c>
      <c r="Q10" s="35">
        <f t="shared" ref="Q10:Q38" si="5">M10-J10</f>
        <v>0</v>
      </c>
      <c r="R10" s="277">
        <f t="shared" si="2"/>
        <v>0</v>
      </c>
      <c r="S10" s="2" t="b">
        <f>[2]FORM.2!$A$8=A10</f>
        <v>1</v>
      </c>
      <c r="T10" s="2" t="b">
        <f>E10=[2]FORM.2!$D$8</f>
        <v>1</v>
      </c>
      <c r="U10" s="2" t="b">
        <f>F10=[2]FORM.2!$E$8</f>
        <v>1</v>
      </c>
      <c r="V10" s="2" t="b">
        <f>G10=[2]FORM.2!$F$8</f>
        <v>1</v>
      </c>
      <c r="W10" s="2" t="b">
        <f>H10=[2]FORM.2!$G$6</f>
        <v>1</v>
      </c>
      <c r="X10" s="2" t="b">
        <f>I10=[2]FORM.2!$H$8</f>
        <v>1</v>
      </c>
      <c r="Y10" s="2" t="b">
        <f>J10=[2]FORM.2!$J$8</f>
        <v>1</v>
      </c>
      <c r="Z10" s="253" t="e">
        <f>#REF!</f>
        <v>#REF!</v>
      </c>
      <c r="AA10" s="279" t="e">
        <f t="shared" si="3"/>
        <v>#REF!</v>
      </c>
      <c r="AB10" s="254">
        <f t="shared" si="4"/>
        <v>218623.72999999998</v>
      </c>
      <c r="AG10" s="194"/>
      <c r="AH10" s="194"/>
      <c r="AI10" s="225"/>
      <c r="AJ10" s="225"/>
      <c r="AK10" s="225"/>
      <c r="AL10" s="225"/>
      <c r="AM10" s="225"/>
      <c r="AN10" s="225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</row>
    <row r="11" spans="1:51" s="2" customFormat="1" ht="209.25" x14ac:dyDescent="0.25">
      <c r="A11" s="196" t="s">
        <v>401</v>
      </c>
      <c r="B11" s="197" t="s">
        <v>389</v>
      </c>
      <c r="C11" s="20" t="s">
        <v>391</v>
      </c>
      <c r="D11" s="20"/>
      <c r="E11" s="196" t="s">
        <v>417</v>
      </c>
      <c r="F11" s="196" t="s">
        <v>447</v>
      </c>
      <c r="G11" s="196" t="s">
        <v>33</v>
      </c>
      <c r="H11" s="21"/>
      <c r="I11" s="196" t="s">
        <v>477</v>
      </c>
      <c r="J11" s="198">
        <v>51158.96</v>
      </c>
      <c r="K11" s="198">
        <v>17708.37</v>
      </c>
      <c r="L11" s="198">
        <f>J11-K11</f>
        <v>33450.589999999997</v>
      </c>
      <c r="M11" s="198">
        <f t="shared" si="0"/>
        <v>51158.959999999992</v>
      </c>
      <c r="N11" s="33"/>
      <c r="O11" s="80"/>
      <c r="P11" s="80">
        <f t="shared" si="1"/>
        <v>0</v>
      </c>
      <c r="Q11" s="35">
        <f t="shared" si="5"/>
        <v>0</v>
      </c>
      <c r="R11" s="277">
        <f t="shared" si="2"/>
        <v>0</v>
      </c>
      <c r="S11" s="2" t="b">
        <f>[2]FORM.2!$A$9=A11</f>
        <v>1</v>
      </c>
      <c r="T11" s="2" t="b">
        <f>E11=[2]FORM.2!$D$9</f>
        <v>1</v>
      </c>
      <c r="U11" s="2" t="b">
        <f>F11=[2]FORM.2!$E$9</f>
        <v>1</v>
      </c>
      <c r="V11" s="2" t="b">
        <f>G11=[2]FORM.2!$F$9</f>
        <v>1</v>
      </c>
      <c r="W11" s="2" t="b">
        <f>H11=[2]FORM.2!$G$6</f>
        <v>1</v>
      </c>
      <c r="X11" s="2" t="b">
        <f>I11=[2]FORM.2!$H$9</f>
        <v>1</v>
      </c>
      <c r="Y11" s="2" t="b">
        <f>J11=[2]FORM.2!$J$9</f>
        <v>1</v>
      </c>
      <c r="Z11" s="253" t="e">
        <f>#REF!</f>
        <v>#REF!</v>
      </c>
      <c r="AA11" s="279" t="e">
        <f t="shared" si="3"/>
        <v>#REF!</v>
      </c>
      <c r="AB11" s="254">
        <f t="shared" si="4"/>
        <v>51158.959999999992</v>
      </c>
      <c r="AG11" s="194"/>
      <c r="AH11" s="194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</row>
    <row r="12" spans="1:51" s="2" customFormat="1" ht="255.75" customHeight="1" x14ac:dyDescent="0.25">
      <c r="A12" s="196" t="s">
        <v>402</v>
      </c>
      <c r="B12" s="197" t="s">
        <v>389</v>
      </c>
      <c r="C12" s="20" t="s">
        <v>393</v>
      </c>
      <c r="D12" s="20"/>
      <c r="E12" s="196" t="s">
        <v>418</v>
      </c>
      <c r="F12" s="196" t="s">
        <v>448</v>
      </c>
      <c r="G12" s="196" t="s">
        <v>35</v>
      </c>
      <c r="H12" s="21"/>
      <c r="I12" s="196" t="s">
        <v>478</v>
      </c>
      <c r="J12" s="198">
        <v>426889.57</v>
      </c>
      <c r="K12" s="198">
        <v>121669.45</v>
      </c>
      <c r="L12" s="198">
        <f>J12-K12+20621.76</f>
        <v>325841.88</v>
      </c>
      <c r="M12" s="198">
        <f t="shared" si="0"/>
        <v>447511.33</v>
      </c>
      <c r="N12" s="33"/>
      <c r="O12" s="80"/>
      <c r="P12" s="80">
        <f t="shared" si="1"/>
        <v>0</v>
      </c>
      <c r="Q12" s="35">
        <f t="shared" si="5"/>
        <v>20621.760000000009</v>
      </c>
      <c r="R12" s="277">
        <f t="shared" si="2"/>
        <v>4.8307012982303617</v>
      </c>
      <c r="S12" s="2" t="b">
        <f>[2]FORM.2!$A$10=A12</f>
        <v>1</v>
      </c>
      <c r="T12" s="2" t="b">
        <f>E12=[2]FORM.2!$D$10</f>
        <v>1</v>
      </c>
      <c r="U12" s="2" t="b">
        <f>F12=[2]FORM.2!$E$10</f>
        <v>1</v>
      </c>
      <c r="V12" s="2" t="b">
        <f>G12=[2]FORM.2!$F$10</f>
        <v>1</v>
      </c>
      <c r="W12" s="2" t="b">
        <f>H12=[2]FORM.2!$G$6</f>
        <v>1</v>
      </c>
      <c r="X12" s="2" t="b">
        <f>I12=[2]FORM.2!$H$10</f>
        <v>1</v>
      </c>
      <c r="Y12" s="2" t="b">
        <f>J12=[2]FORM.2!$J$10</f>
        <v>1</v>
      </c>
      <c r="Z12" s="253" t="e">
        <f>#REF!</f>
        <v>#REF!</v>
      </c>
      <c r="AA12" s="279" t="e">
        <f t="shared" si="3"/>
        <v>#REF!</v>
      </c>
      <c r="AB12" s="254">
        <f t="shared" si="4"/>
        <v>447511.33</v>
      </c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</row>
    <row r="13" spans="1:51" s="2" customFormat="1" ht="162.75" x14ac:dyDescent="0.25">
      <c r="A13" s="196" t="s">
        <v>403</v>
      </c>
      <c r="B13" s="197" t="s">
        <v>389</v>
      </c>
      <c r="C13" s="20" t="s">
        <v>391</v>
      </c>
      <c r="D13" s="20"/>
      <c r="E13" s="196" t="s">
        <v>419</v>
      </c>
      <c r="F13" s="196" t="s">
        <v>449</v>
      </c>
      <c r="G13" s="196" t="s">
        <v>36</v>
      </c>
      <c r="H13" s="21"/>
      <c r="I13" s="196" t="s">
        <v>479</v>
      </c>
      <c r="J13" s="198">
        <v>182877.17</v>
      </c>
      <c r="K13" s="198">
        <v>55426.58</v>
      </c>
      <c r="L13" s="198">
        <f>J13-K13</f>
        <v>127450.59000000001</v>
      </c>
      <c r="M13" s="198">
        <f t="shared" si="0"/>
        <v>182877.17</v>
      </c>
      <c r="N13" s="33"/>
      <c r="O13" s="80"/>
      <c r="P13" s="80">
        <f t="shared" si="1"/>
        <v>0</v>
      </c>
      <c r="Q13" s="35">
        <f t="shared" si="5"/>
        <v>0</v>
      </c>
      <c r="R13" s="277">
        <f t="shared" si="2"/>
        <v>0</v>
      </c>
      <c r="S13" s="2" t="b">
        <f>[2]FORM.2!$A$11=A13</f>
        <v>1</v>
      </c>
      <c r="T13" s="2" t="b">
        <f>E13=[2]FORM.2!$D$11</f>
        <v>1</v>
      </c>
      <c r="U13" s="2" t="b">
        <f>F13=[2]FORM.2!$E$11</f>
        <v>1</v>
      </c>
      <c r="V13" s="2" t="b">
        <f>G13=[2]FORM.2!$F$11</f>
        <v>1</v>
      </c>
      <c r="W13" s="2" t="b">
        <f>H13=[2]FORM.2!$G$6</f>
        <v>1</v>
      </c>
      <c r="X13" s="2" t="b">
        <f>I13=[2]FORM.2!$H$11</f>
        <v>1</v>
      </c>
      <c r="Y13" s="2" t="b">
        <f>J13=[2]FORM.2!$J$11</f>
        <v>1</v>
      </c>
      <c r="Z13" s="253" t="e">
        <f>#REF!</f>
        <v>#REF!</v>
      </c>
      <c r="AA13" s="279" t="e">
        <f t="shared" si="3"/>
        <v>#REF!</v>
      </c>
      <c r="AB13" s="254">
        <f t="shared" si="4"/>
        <v>182877.17</v>
      </c>
    </row>
    <row r="14" spans="1:51" s="2" customFormat="1" ht="116.25" x14ac:dyDescent="0.25">
      <c r="A14" s="196" t="s">
        <v>404</v>
      </c>
      <c r="B14" s="197" t="s">
        <v>389</v>
      </c>
      <c r="C14" s="20" t="s">
        <v>393</v>
      </c>
      <c r="D14" s="20"/>
      <c r="E14" s="196" t="s">
        <v>420</v>
      </c>
      <c r="F14" s="196" t="s">
        <v>450</v>
      </c>
      <c r="G14" s="196" t="s">
        <v>33</v>
      </c>
      <c r="H14" s="21"/>
      <c r="I14" s="196" t="s">
        <v>480</v>
      </c>
      <c r="J14" s="198">
        <v>109600.07</v>
      </c>
      <c r="K14" s="198">
        <v>27898.41</v>
      </c>
      <c r="L14" s="198">
        <f>J14-K14-3750</f>
        <v>77951.66</v>
      </c>
      <c r="M14" s="198">
        <f t="shared" si="0"/>
        <v>105850.07</v>
      </c>
      <c r="N14" s="33"/>
      <c r="O14" s="80"/>
      <c r="P14" s="80">
        <f t="shared" si="1"/>
        <v>0</v>
      </c>
      <c r="Q14" s="35">
        <f t="shared" si="5"/>
        <v>-3750</v>
      </c>
      <c r="R14" s="277">
        <f t="shared" si="2"/>
        <v>-3.4215306614311465</v>
      </c>
      <c r="S14" s="2" t="b">
        <f>[2]FORM.2!$A$12=A14</f>
        <v>1</v>
      </c>
      <c r="T14" s="2" t="b">
        <f>E14=[2]FORM.2!$D$11</f>
        <v>0</v>
      </c>
      <c r="U14" s="2" t="b">
        <f>F14=[2]FORM.2!$E$12</f>
        <v>1</v>
      </c>
      <c r="V14" s="2" t="b">
        <f>G14=[2]FORM.2!$F$12</f>
        <v>1</v>
      </c>
      <c r="W14" s="2" t="b">
        <f>H14=[2]FORM.2!$G$6</f>
        <v>1</v>
      </c>
      <c r="X14" s="2" t="b">
        <f>I14=[2]FORM.2!$H$12</f>
        <v>1</v>
      </c>
      <c r="Y14" s="2" t="b">
        <f>J14=[2]FORM.2!$J$12</f>
        <v>1</v>
      </c>
      <c r="Z14" s="253" t="e">
        <f>#REF!</f>
        <v>#REF!</v>
      </c>
      <c r="AA14" s="279" t="e">
        <f t="shared" si="3"/>
        <v>#REF!</v>
      </c>
      <c r="AB14" s="254">
        <f t="shared" si="4"/>
        <v>105850.07</v>
      </c>
    </row>
    <row r="15" spans="1:51" s="2" customFormat="1" ht="116.25" x14ac:dyDescent="0.25">
      <c r="A15" s="196" t="s">
        <v>405</v>
      </c>
      <c r="B15" s="197" t="s">
        <v>389</v>
      </c>
      <c r="C15" s="20" t="s">
        <v>393</v>
      </c>
      <c r="D15" s="20"/>
      <c r="E15" s="196" t="s">
        <v>421</v>
      </c>
      <c r="F15" s="196" t="s">
        <v>451</v>
      </c>
      <c r="G15" s="196" t="s">
        <v>36</v>
      </c>
      <c r="H15" s="21"/>
      <c r="I15" s="196" t="s">
        <v>481</v>
      </c>
      <c r="J15" s="198">
        <v>10000</v>
      </c>
      <c r="K15" s="198">
        <v>0</v>
      </c>
      <c r="L15" s="198">
        <v>55000</v>
      </c>
      <c r="M15" s="198">
        <f t="shared" si="0"/>
        <v>55000</v>
      </c>
      <c r="N15" s="33"/>
      <c r="O15" s="80"/>
      <c r="P15" s="80">
        <f t="shared" si="1"/>
        <v>0</v>
      </c>
      <c r="Q15" s="35">
        <f t="shared" si="5"/>
        <v>45000</v>
      </c>
      <c r="R15" s="277">
        <f t="shared" si="2"/>
        <v>450</v>
      </c>
      <c r="S15" s="2" t="b">
        <f>[2]FORM.2!$A$13=A15</f>
        <v>1</v>
      </c>
      <c r="T15" s="2" t="b">
        <f>E15=[2]FORM.2!$D$13</f>
        <v>1</v>
      </c>
      <c r="U15" s="2" t="b">
        <f>F15=[2]FORM.2!$E$13</f>
        <v>1</v>
      </c>
      <c r="V15" s="2" t="b">
        <f>G15=[2]FORM.2!$F$13</f>
        <v>1</v>
      </c>
      <c r="W15" s="2" t="b">
        <f>H15=[2]FORM.2!$G$6</f>
        <v>1</v>
      </c>
      <c r="X15" s="2" t="b">
        <f>I15=[2]FORM.2!$H$13</f>
        <v>1</v>
      </c>
      <c r="Y15" s="2" t="b">
        <f>J15=[2]FORM.2!$J$13</f>
        <v>1</v>
      </c>
      <c r="Z15" s="227">
        <v>0</v>
      </c>
      <c r="AA15" s="279">
        <f t="shared" si="3"/>
        <v>55000</v>
      </c>
      <c r="AB15" s="254">
        <f t="shared" si="4"/>
        <v>55000</v>
      </c>
    </row>
    <row r="16" spans="1:51" s="2" customFormat="1" ht="186" x14ac:dyDescent="0.25">
      <c r="A16" s="196" t="s">
        <v>406</v>
      </c>
      <c r="B16" s="197" t="s">
        <v>389</v>
      </c>
      <c r="C16" s="20" t="s">
        <v>393</v>
      </c>
      <c r="D16" s="20"/>
      <c r="E16" s="196" t="s">
        <v>422</v>
      </c>
      <c r="F16" s="196" t="s">
        <v>452</v>
      </c>
      <c r="G16" s="196" t="s">
        <v>27</v>
      </c>
      <c r="H16" s="21"/>
      <c r="I16" s="196" t="s">
        <v>482</v>
      </c>
      <c r="J16" s="198">
        <v>20000</v>
      </c>
      <c r="K16" s="198">
        <v>0</v>
      </c>
      <c r="L16" s="198">
        <f>J16-K16-3750</f>
        <v>16250</v>
      </c>
      <c r="M16" s="198">
        <f t="shared" si="0"/>
        <v>16250</v>
      </c>
      <c r="N16" s="33"/>
      <c r="O16" s="80"/>
      <c r="P16" s="80">
        <f t="shared" si="1"/>
        <v>0</v>
      </c>
      <c r="Q16" s="35">
        <f t="shared" si="5"/>
        <v>-3750</v>
      </c>
      <c r="R16" s="277">
        <f t="shared" si="2"/>
        <v>-18.75</v>
      </c>
      <c r="S16" s="2" t="b">
        <f>[2]FORM.2!$A$14=A16</f>
        <v>1</v>
      </c>
      <c r="T16" s="2" t="b">
        <f>E16=[2]FORM.2!$D$14</f>
        <v>1</v>
      </c>
      <c r="U16" s="2" t="b">
        <f>F16=[2]FORM.2!$E$14</f>
        <v>1</v>
      </c>
      <c r="V16" s="2" t="b">
        <f>G16=[2]FORM.2!$F$14</f>
        <v>1</v>
      </c>
      <c r="W16" s="2" t="b">
        <f>H16=[2]FORM.2!$G$6</f>
        <v>1</v>
      </c>
      <c r="X16" s="2" t="b">
        <f>I16=[2]FORM.2!$H$14</f>
        <v>1</v>
      </c>
      <c r="Y16" s="2" t="b">
        <f>J16=[2]FORM.2!$J$14</f>
        <v>1</v>
      </c>
      <c r="Z16" s="227">
        <v>0</v>
      </c>
      <c r="AA16" s="279">
        <f t="shared" si="3"/>
        <v>16250</v>
      </c>
      <c r="AB16" s="254">
        <f t="shared" si="4"/>
        <v>16250</v>
      </c>
    </row>
    <row r="17" spans="1:34" s="2" customFormat="1" ht="139.5" x14ac:dyDescent="0.25">
      <c r="A17" s="196" t="s">
        <v>407</v>
      </c>
      <c r="B17" s="197" t="s">
        <v>389</v>
      </c>
      <c r="C17" s="20" t="s">
        <v>393</v>
      </c>
      <c r="D17" s="20"/>
      <c r="E17" s="196" t="s">
        <v>423</v>
      </c>
      <c r="F17" s="196" t="s">
        <v>453</v>
      </c>
      <c r="G17" s="196" t="s">
        <v>35</v>
      </c>
      <c r="H17" s="21"/>
      <c r="I17" s="196" t="s">
        <v>483</v>
      </c>
      <c r="J17" s="198">
        <v>17559.490000000002</v>
      </c>
      <c r="K17" s="198">
        <v>0</v>
      </c>
      <c r="L17" s="198">
        <f>J17-K17-3750</f>
        <v>13809.490000000002</v>
      </c>
      <c r="M17" s="198">
        <f t="shared" si="0"/>
        <v>13809.490000000002</v>
      </c>
      <c r="N17" s="33"/>
      <c r="O17" s="80"/>
      <c r="P17" s="80">
        <f t="shared" si="1"/>
        <v>0</v>
      </c>
      <c r="Q17" s="35">
        <f t="shared" si="5"/>
        <v>-3750</v>
      </c>
      <c r="R17" s="277">
        <f t="shared" si="2"/>
        <v>-21.355973322687618</v>
      </c>
      <c r="S17" s="2" t="b">
        <f>[2]FORM.2!$A$15=A17</f>
        <v>1</v>
      </c>
      <c r="T17" s="2" t="b">
        <f>E17=[2]FORM.2!$D$15</f>
        <v>1</v>
      </c>
      <c r="U17" s="2" t="b">
        <f>F17=[2]FORM.2!$E$15</f>
        <v>1</v>
      </c>
      <c r="V17" s="2" t="b">
        <f>G17=[2]FORM.2!$F$15</f>
        <v>1</v>
      </c>
      <c r="W17" s="2" t="b">
        <f>H17=[2]FORM.2!$G$6</f>
        <v>1</v>
      </c>
      <c r="X17" s="2" t="b">
        <f>I17=[2]FORM.2!$H$15</f>
        <v>1</v>
      </c>
      <c r="Y17" s="2" t="b">
        <f>J17=[2]FORM.2!$J$15</f>
        <v>1</v>
      </c>
      <c r="Z17" s="227">
        <v>0</v>
      </c>
      <c r="AA17" s="279">
        <f t="shared" si="3"/>
        <v>13809.490000000002</v>
      </c>
      <c r="AB17" s="254">
        <f t="shared" si="4"/>
        <v>13809.490000000002</v>
      </c>
    </row>
    <row r="18" spans="1:34" s="2" customFormat="1" ht="162.75" x14ac:dyDescent="0.25">
      <c r="A18" s="196" t="s">
        <v>408</v>
      </c>
      <c r="B18" s="197" t="s">
        <v>389</v>
      </c>
      <c r="C18" s="20" t="s">
        <v>393</v>
      </c>
      <c r="D18" s="20"/>
      <c r="E18" s="196" t="s">
        <v>424</v>
      </c>
      <c r="F18" s="196" t="s">
        <v>454</v>
      </c>
      <c r="G18" s="196" t="s">
        <v>155</v>
      </c>
      <c r="H18" s="21"/>
      <c r="I18" s="196" t="s">
        <v>484</v>
      </c>
      <c r="J18" s="198">
        <v>36000</v>
      </c>
      <c r="K18" s="198">
        <v>0</v>
      </c>
      <c r="L18" s="198">
        <f>J18-K18-3750+20621.76</f>
        <v>52871.759999999995</v>
      </c>
      <c r="M18" s="198">
        <f t="shared" si="0"/>
        <v>52871.759999999995</v>
      </c>
      <c r="N18" s="33"/>
      <c r="O18" s="80"/>
      <c r="P18" s="80">
        <f t="shared" si="1"/>
        <v>0</v>
      </c>
      <c r="Q18" s="35">
        <f t="shared" si="5"/>
        <v>16871.759999999995</v>
      </c>
      <c r="R18" s="277">
        <f t="shared" si="2"/>
        <v>46.865999999999985</v>
      </c>
      <c r="S18" s="2" t="b">
        <f>[2]FORM.2!$A$16=A18</f>
        <v>1</v>
      </c>
      <c r="T18" s="2" t="b">
        <f>E18=[2]FORM.2!$D$16</f>
        <v>1</v>
      </c>
      <c r="U18" s="2" t="b">
        <f>F18=[2]FORM.2!$E$16</f>
        <v>1</v>
      </c>
      <c r="V18" s="2" t="b">
        <f>G18=[2]FORM.2!$F$16</f>
        <v>1</v>
      </c>
      <c r="W18" s="2" t="b">
        <f>H18=[2]FORM.2!$G$6</f>
        <v>1</v>
      </c>
      <c r="X18" s="2" t="b">
        <f>I18=[2]FORM.2!$H$16</f>
        <v>1</v>
      </c>
      <c r="Y18" s="2" t="b">
        <f>J18=[2]FORM.2!$J$16</f>
        <v>1</v>
      </c>
      <c r="Z18" s="227">
        <v>0</v>
      </c>
      <c r="AA18" s="279">
        <f t="shared" si="3"/>
        <v>52871.759999999995</v>
      </c>
      <c r="AB18" s="254">
        <f t="shared" si="4"/>
        <v>52871.759999999995</v>
      </c>
    </row>
    <row r="19" spans="1:34" s="2" customFormat="1" ht="116.25" x14ac:dyDescent="0.25">
      <c r="A19" s="196" t="s">
        <v>409</v>
      </c>
      <c r="B19" s="197" t="s">
        <v>389</v>
      </c>
      <c r="C19" s="20" t="s">
        <v>393</v>
      </c>
      <c r="D19" s="20"/>
      <c r="E19" s="196" t="s">
        <v>425</v>
      </c>
      <c r="F19" s="196" t="s">
        <v>455</v>
      </c>
      <c r="G19" s="196" t="s">
        <v>36</v>
      </c>
      <c r="H19" s="21"/>
      <c r="I19" s="196" t="s">
        <v>485</v>
      </c>
      <c r="J19" s="198">
        <v>5000</v>
      </c>
      <c r="K19" s="198">
        <v>0</v>
      </c>
      <c r="L19" s="198">
        <v>30621.759999999998</v>
      </c>
      <c r="M19" s="198">
        <f t="shared" si="0"/>
        <v>30621.759999999998</v>
      </c>
      <c r="N19" s="33"/>
      <c r="O19" s="80"/>
      <c r="P19" s="80">
        <f t="shared" si="1"/>
        <v>0</v>
      </c>
      <c r="Q19" s="35">
        <f t="shared" si="5"/>
        <v>25621.759999999998</v>
      </c>
      <c r="R19" s="277">
        <f t="shared" si="2"/>
        <v>512.43520000000001</v>
      </c>
      <c r="S19" s="2" t="b">
        <f>[2]FORM.2!$A$17=A19</f>
        <v>1</v>
      </c>
      <c r="T19" s="2" t="b">
        <f>E19=[2]FORM.2!$D$17</f>
        <v>1</v>
      </c>
      <c r="U19" s="2" t="b">
        <f>F19=[2]FORM.2!$E$17</f>
        <v>1</v>
      </c>
      <c r="V19" s="2" t="b">
        <f>G19=[2]FORM.2!$F$17</f>
        <v>1</v>
      </c>
      <c r="W19" s="2" t="b">
        <f>H19=[2]FORM.2!$G$6</f>
        <v>1</v>
      </c>
      <c r="X19" s="2" t="b">
        <f>I19=[2]FORM.2!$H$17</f>
        <v>1</v>
      </c>
      <c r="Y19" s="2" t="b">
        <f>J19=[2]FORM.2!$J$17</f>
        <v>1</v>
      </c>
      <c r="Z19" s="227">
        <v>0</v>
      </c>
      <c r="AA19" s="279">
        <f t="shared" si="3"/>
        <v>30621.759999999998</v>
      </c>
      <c r="AB19" s="254">
        <f t="shared" si="4"/>
        <v>30621.759999999998</v>
      </c>
    </row>
    <row r="20" spans="1:34" s="2" customFormat="1" ht="116.25" x14ac:dyDescent="0.25">
      <c r="A20" s="196" t="s">
        <v>410</v>
      </c>
      <c r="B20" s="197" t="s">
        <v>389</v>
      </c>
      <c r="C20" s="20" t="s">
        <v>393</v>
      </c>
      <c r="D20" s="20"/>
      <c r="E20" s="196" t="s">
        <v>426</v>
      </c>
      <c r="F20" s="196" t="s">
        <v>456</v>
      </c>
      <c r="G20" s="196" t="s">
        <v>186</v>
      </c>
      <c r="H20" s="21"/>
      <c r="I20" s="196" t="s">
        <v>486</v>
      </c>
      <c r="J20" s="198">
        <v>5000</v>
      </c>
      <c r="K20" s="198">
        <v>0</v>
      </c>
      <c r="L20" s="198">
        <v>10000</v>
      </c>
      <c r="M20" s="198">
        <f t="shared" si="0"/>
        <v>10000</v>
      </c>
      <c r="N20" s="33"/>
      <c r="O20" s="80"/>
      <c r="P20" s="80">
        <f t="shared" si="1"/>
        <v>0</v>
      </c>
      <c r="Q20" s="35">
        <f t="shared" si="5"/>
        <v>5000</v>
      </c>
      <c r="R20" s="277">
        <f t="shared" si="2"/>
        <v>100</v>
      </c>
      <c r="S20" s="2" t="b">
        <f>[2]FORM.2!$A$18=A20</f>
        <v>1</v>
      </c>
      <c r="T20" s="2" t="b">
        <f>E20=[2]FORM.2!$D$18</f>
        <v>1</v>
      </c>
      <c r="U20" s="2" t="b">
        <f>F20=[2]FORM.2!$E$18</f>
        <v>1</v>
      </c>
      <c r="V20" s="2" t="b">
        <f>G20=[2]FORM.2!$F$18</f>
        <v>1</v>
      </c>
      <c r="W20" s="2" t="b">
        <f>H20=[2]FORM.2!$G$6</f>
        <v>1</v>
      </c>
      <c r="X20" s="2" t="b">
        <f>I20=[2]FORM.2!$H$18</f>
        <v>1</v>
      </c>
      <c r="Y20" s="2" t="b">
        <f>J20=[2]FORM.2!$J$18</f>
        <v>1</v>
      </c>
      <c r="Z20" s="227">
        <v>0</v>
      </c>
      <c r="AA20" s="279">
        <f t="shared" si="3"/>
        <v>10000</v>
      </c>
      <c r="AB20" s="254">
        <f t="shared" si="4"/>
        <v>10000</v>
      </c>
    </row>
    <row r="21" spans="1:34" s="2" customFormat="1" ht="93" x14ac:dyDescent="0.25">
      <c r="A21" s="196" t="s">
        <v>411</v>
      </c>
      <c r="B21" s="197" t="s">
        <v>389</v>
      </c>
      <c r="C21" s="20" t="s">
        <v>391</v>
      </c>
      <c r="D21" s="20"/>
      <c r="E21" s="196" t="s">
        <v>427</v>
      </c>
      <c r="F21" s="196" t="s">
        <v>457</v>
      </c>
      <c r="G21" s="196" t="s">
        <v>145</v>
      </c>
      <c r="H21" s="21"/>
      <c r="I21" s="196" t="s">
        <v>487</v>
      </c>
      <c r="J21" s="198">
        <v>80000</v>
      </c>
      <c r="K21" s="198">
        <v>0</v>
      </c>
      <c r="L21" s="198">
        <f>J21-K21</f>
        <v>80000</v>
      </c>
      <c r="M21" s="198">
        <f t="shared" si="0"/>
        <v>80000</v>
      </c>
      <c r="N21" s="33"/>
      <c r="O21" s="80"/>
      <c r="P21" s="80">
        <f t="shared" si="1"/>
        <v>0</v>
      </c>
      <c r="Q21" s="35">
        <f t="shared" si="5"/>
        <v>0</v>
      </c>
      <c r="R21" s="277">
        <f t="shared" si="2"/>
        <v>0</v>
      </c>
      <c r="S21" s="2" t="b">
        <f>[2]FORM.2!$A$19=A21</f>
        <v>1</v>
      </c>
      <c r="T21" s="2" t="b">
        <f>E21=[2]FORM.2!$D$19</f>
        <v>1</v>
      </c>
      <c r="U21" s="2" t="b">
        <f>F21=[2]FORM.2!$E$19</f>
        <v>1</v>
      </c>
      <c r="V21" s="2" t="b">
        <f>G21=[2]FORM.2!$F$19</f>
        <v>1</v>
      </c>
      <c r="W21" s="2" t="b">
        <f>H21=[2]FORM.2!$G$6</f>
        <v>1</v>
      </c>
      <c r="X21" s="2" t="b">
        <f>I21=[2]FORM.2!$H$19</f>
        <v>1</v>
      </c>
      <c r="Y21" s="2" t="b">
        <f>J21=[2]FORM.2!$J$19</f>
        <v>1</v>
      </c>
      <c r="Z21" s="227">
        <v>0</v>
      </c>
      <c r="AA21" s="279">
        <f t="shared" si="3"/>
        <v>80000</v>
      </c>
      <c r="AB21" s="254">
        <f t="shared" si="4"/>
        <v>80000</v>
      </c>
    </row>
    <row r="22" spans="1:34" s="2" customFormat="1" ht="139.5" x14ac:dyDescent="0.25">
      <c r="A22" s="196" t="s">
        <v>411</v>
      </c>
      <c r="B22" s="197" t="s">
        <v>389</v>
      </c>
      <c r="C22" s="20" t="s">
        <v>391</v>
      </c>
      <c r="D22" s="20"/>
      <c r="E22" s="196" t="s">
        <v>428</v>
      </c>
      <c r="F22" s="196" t="s">
        <v>458</v>
      </c>
      <c r="G22" s="196" t="s">
        <v>32</v>
      </c>
      <c r="H22" s="21"/>
      <c r="I22" s="196" t="s">
        <v>488</v>
      </c>
      <c r="J22" s="198">
        <v>40000</v>
      </c>
      <c r="K22" s="198">
        <v>0</v>
      </c>
      <c r="L22" s="198">
        <v>60621.760000000002</v>
      </c>
      <c r="M22" s="198">
        <f t="shared" si="0"/>
        <v>60621.760000000002</v>
      </c>
      <c r="N22" s="33"/>
      <c r="O22" s="80"/>
      <c r="P22" s="80">
        <f t="shared" si="1"/>
        <v>0</v>
      </c>
      <c r="Q22" s="35">
        <f t="shared" si="5"/>
        <v>20621.760000000002</v>
      </c>
      <c r="R22" s="277">
        <f t="shared" si="2"/>
        <v>51.554400000000001</v>
      </c>
      <c r="S22" s="2" t="b">
        <f>[2]FORM.2!$A$20=A22</f>
        <v>1</v>
      </c>
      <c r="T22" s="2" t="b">
        <f>E22=[2]FORM.2!$D$20</f>
        <v>1</v>
      </c>
      <c r="U22" s="2" t="b">
        <f>F22=[2]FORM.2!$E$20</f>
        <v>1</v>
      </c>
      <c r="V22" s="2" t="b">
        <f>G22=[2]FORM.2!$F$20</f>
        <v>1</v>
      </c>
      <c r="W22" s="2" t="b">
        <f>H22=[2]FORM.2!$G$6</f>
        <v>1</v>
      </c>
      <c r="X22" s="2" t="b">
        <f>I22=[2]FORM.2!$H$20</f>
        <v>1</v>
      </c>
      <c r="Y22" s="2" t="b">
        <f>J22=[2]FORM.2!$J$20</f>
        <v>1</v>
      </c>
      <c r="Z22" s="227">
        <v>0</v>
      </c>
      <c r="AA22" s="279">
        <f t="shared" si="3"/>
        <v>60621.760000000002</v>
      </c>
      <c r="AB22" s="254">
        <f t="shared" si="4"/>
        <v>60621.760000000002</v>
      </c>
    </row>
    <row r="23" spans="1:34" s="2" customFormat="1" ht="116.25" x14ac:dyDescent="0.25">
      <c r="A23" s="196" t="s">
        <v>399</v>
      </c>
      <c r="B23" s="197" t="s">
        <v>389</v>
      </c>
      <c r="C23" s="20" t="s">
        <v>393</v>
      </c>
      <c r="D23" s="20"/>
      <c r="E23" s="196" t="s">
        <v>429</v>
      </c>
      <c r="F23" s="196" t="s">
        <v>459</v>
      </c>
      <c r="G23" s="196" t="s">
        <v>134</v>
      </c>
      <c r="H23" s="21"/>
      <c r="I23" s="196" t="s">
        <v>489</v>
      </c>
      <c r="J23" s="198">
        <v>80000</v>
      </c>
      <c r="K23" s="198">
        <v>0</v>
      </c>
      <c r="L23" s="198">
        <v>41376.11</v>
      </c>
      <c r="M23" s="198">
        <f t="shared" si="0"/>
        <v>41376.11</v>
      </c>
      <c r="N23" s="33"/>
      <c r="O23" s="80"/>
      <c r="P23" s="80">
        <f t="shared" si="1"/>
        <v>0</v>
      </c>
      <c r="Q23" s="35">
        <f t="shared" si="5"/>
        <v>-38623.89</v>
      </c>
      <c r="R23" s="277">
        <f t="shared" si="2"/>
        <v>-48.2798625</v>
      </c>
      <c r="S23" s="2" t="b">
        <f>[2]FORM.2!$A$21=A23</f>
        <v>1</v>
      </c>
      <c r="T23" s="2" t="b">
        <f>E23=[2]FORM.2!$D$21</f>
        <v>1</v>
      </c>
      <c r="U23" s="2" t="b">
        <f>F23=[2]FORM.2!$E$21</f>
        <v>1</v>
      </c>
      <c r="V23" s="2" t="b">
        <f>G23=[2]FORM.2!$F$21</f>
        <v>1</v>
      </c>
      <c r="W23" s="2" t="b">
        <f>H23=[2]FORM.2!$G$6</f>
        <v>1</v>
      </c>
      <c r="X23" s="2" t="b">
        <f>I23=[2]FORM.2!$H$21</f>
        <v>1</v>
      </c>
      <c r="Y23" s="2" t="b">
        <f>J23=[2]FORM.2!$J$21</f>
        <v>1</v>
      </c>
      <c r="Z23" s="227">
        <v>0</v>
      </c>
      <c r="AA23" s="279">
        <f t="shared" si="3"/>
        <v>41376.11</v>
      </c>
      <c r="AB23" s="254">
        <f t="shared" si="4"/>
        <v>41376.11</v>
      </c>
    </row>
    <row r="24" spans="1:34" s="2" customFormat="1" ht="93" x14ac:dyDescent="0.25">
      <c r="A24" s="196" t="s">
        <v>411</v>
      </c>
      <c r="B24" s="197" t="s">
        <v>388</v>
      </c>
      <c r="C24" s="20" t="s">
        <v>393</v>
      </c>
      <c r="D24" s="20"/>
      <c r="E24" s="196" t="s">
        <v>430</v>
      </c>
      <c r="F24" s="196" t="s">
        <v>460</v>
      </c>
      <c r="G24" s="196" t="s">
        <v>29</v>
      </c>
      <c r="H24" s="21"/>
      <c r="I24" s="196" t="s">
        <v>490</v>
      </c>
      <c r="J24" s="198">
        <v>40000</v>
      </c>
      <c r="K24" s="198">
        <v>0</v>
      </c>
      <c r="L24" s="198">
        <v>60621.760000000002</v>
      </c>
      <c r="M24" s="198">
        <f t="shared" si="0"/>
        <v>60621.760000000002</v>
      </c>
      <c r="N24" s="33"/>
      <c r="O24" s="80"/>
      <c r="P24" s="80">
        <f t="shared" si="1"/>
        <v>0</v>
      </c>
      <c r="Q24" s="35">
        <f t="shared" si="5"/>
        <v>20621.760000000002</v>
      </c>
      <c r="R24" s="277">
        <f t="shared" si="2"/>
        <v>51.554400000000001</v>
      </c>
      <c r="S24" s="2" t="b">
        <f>[2]FORM.2!$A$22=A24</f>
        <v>1</v>
      </c>
      <c r="T24" s="2" t="b">
        <f>E24=[2]FORM.2!$D$22</f>
        <v>1</v>
      </c>
      <c r="U24" s="2" t="b">
        <f>F24=[2]FORM.2!$E$22</f>
        <v>1</v>
      </c>
      <c r="V24" s="2" t="b">
        <f>G24=[2]FORM.2!$F$22</f>
        <v>1</v>
      </c>
      <c r="W24" s="2" t="b">
        <f>H24=[2]FORM.2!$G$6</f>
        <v>1</v>
      </c>
      <c r="X24" s="2" t="b">
        <f>I24=[2]FORM.2!$H$22</f>
        <v>1</v>
      </c>
      <c r="Y24" s="2" t="b">
        <f>J24=[2]FORM.2!$J$22</f>
        <v>1</v>
      </c>
      <c r="Z24" s="227">
        <v>0</v>
      </c>
      <c r="AA24" s="279">
        <f t="shared" si="3"/>
        <v>60621.760000000002</v>
      </c>
      <c r="AB24" s="254">
        <f t="shared" si="4"/>
        <v>60621.760000000002</v>
      </c>
    </row>
    <row r="25" spans="1:34" s="2" customFormat="1" ht="116.25" x14ac:dyDescent="0.25">
      <c r="A25" s="196" t="s">
        <v>402</v>
      </c>
      <c r="B25" s="197" t="s">
        <v>389</v>
      </c>
      <c r="C25" s="20" t="s">
        <v>393</v>
      </c>
      <c r="D25" s="20"/>
      <c r="E25" s="196" t="s">
        <v>431</v>
      </c>
      <c r="F25" s="196" t="s">
        <v>461</v>
      </c>
      <c r="G25" s="196" t="s">
        <v>35</v>
      </c>
      <c r="H25" s="21"/>
      <c r="I25" s="196" t="s">
        <v>491</v>
      </c>
      <c r="J25" s="198">
        <v>84981.82</v>
      </c>
      <c r="K25" s="198">
        <v>35409.1</v>
      </c>
      <c r="L25" s="198">
        <f>J25-K25-12093.83</f>
        <v>37478.890000000007</v>
      </c>
      <c r="M25" s="198">
        <f t="shared" si="0"/>
        <v>72887.990000000005</v>
      </c>
      <c r="N25" s="33"/>
      <c r="O25" s="80"/>
      <c r="P25" s="80">
        <f t="shared" si="1"/>
        <v>0</v>
      </c>
      <c r="Q25" s="35">
        <f t="shared" si="5"/>
        <v>-12093.830000000002</v>
      </c>
      <c r="R25" s="277">
        <f t="shared" si="2"/>
        <v>-14.2310790707942</v>
      </c>
      <c r="S25" s="2" t="b">
        <f>[2]FORM.2!$A$23=A25</f>
        <v>1</v>
      </c>
      <c r="T25" s="2" t="b">
        <f>E25=[2]FORM.2!$D$23</f>
        <v>1</v>
      </c>
      <c r="U25" s="2" t="b">
        <f>F25=[2]FORM.2!$E$23</f>
        <v>1</v>
      </c>
      <c r="V25" s="2" t="b">
        <f>G25=[2]FORM.2!$F$23</f>
        <v>1</v>
      </c>
      <c r="W25" s="2" t="b">
        <f>H25=[2]FORM.2!$G$6</f>
        <v>1</v>
      </c>
      <c r="X25" s="2" t="b">
        <f>I25=[2]FORM.2!$H$23</f>
        <v>1</v>
      </c>
      <c r="Y25" s="2" t="b">
        <f>J25=[2]FORM.2!$J$23</f>
        <v>1</v>
      </c>
      <c r="Z25" s="253" t="e">
        <f>#REF!</f>
        <v>#REF!</v>
      </c>
      <c r="AA25" s="279" t="e">
        <f t="shared" si="3"/>
        <v>#REF!</v>
      </c>
      <c r="AB25" s="254">
        <f t="shared" si="4"/>
        <v>72887.990000000005</v>
      </c>
      <c r="AC25" s="227"/>
    </row>
    <row r="26" spans="1:34" s="2" customFormat="1" ht="116.25" x14ac:dyDescent="0.25">
      <c r="A26" s="196" t="s">
        <v>411</v>
      </c>
      <c r="B26" s="197" t="s">
        <v>389</v>
      </c>
      <c r="C26" s="20" t="s">
        <v>393</v>
      </c>
      <c r="D26" s="20"/>
      <c r="E26" s="196" t="s">
        <v>432</v>
      </c>
      <c r="F26" s="196" t="s">
        <v>462</v>
      </c>
      <c r="G26" s="196" t="s">
        <v>32</v>
      </c>
      <c r="H26" s="21"/>
      <c r="I26" s="196" t="s">
        <v>492</v>
      </c>
      <c r="J26" s="198">
        <v>118000</v>
      </c>
      <c r="K26" s="198">
        <v>2577.12</v>
      </c>
      <c r="L26" s="198">
        <v>154855.07</v>
      </c>
      <c r="M26" s="198">
        <f t="shared" si="0"/>
        <v>157432.19</v>
      </c>
      <c r="N26" s="33"/>
      <c r="O26" s="80"/>
      <c r="P26" s="80">
        <f t="shared" si="1"/>
        <v>0</v>
      </c>
      <c r="Q26" s="35">
        <f t="shared" si="5"/>
        <v>39432.19</v>
      </c>
      <c r="R26" s="277">
        <f t="shared" si="2"/>
        <v>33.417110169491529</v>
      </c>
      <c r="S26" s="2" t="b">
        <f>[2]FORM.2!$A$24=A26</f>
        <v>1</v>
      </c>
      <c r="T26" s="2" t="b">
        <f>E26=[2]FORM.2!$D$24</f>
        <v>1</v>
      </c>
      <c r="U26" s="2" t="b">
        <f>F26=[2]FORM.2!$E$24</f>
        <v>1</v>
      </c>
      <c r="V26" s="2" t="b">
        <f>G26=[2]FORM.2!$F$24</f>
        <v>1</v>
      </c>
      <c r="W26" s="2" t="b">
        <f>H26=[2]FORM.2!$G$6</f>
        <v>1</v>
      </c>
      <c r="X26" s="2" t="b">
        <f>I26=[2]FORM.2!$H$24</f>
        <v>1</v>
      </c>
      <c r="Y26" s="2" t="b">
        <f>J26=[2]FORM.2!$J$24</f>
        <v>1</v>
      </c>
      <c r="Z26" s="253" t="e">
        <f>#REF!</f>
        <v>#REF!</v>
      </c>
      <c r="AA26" s="279" t="e">
        <f t="shared" si="3"/>
        <v>#REF!</v>
      </c>
      <c r="AB26" s="254">
        <f t="shared" si="4"/>
        <v>157432.19</v>
      </c>
    </row>
    <row r="27" spans="1:34" s="2" customFormat="1" ht="93" x14ac:dyDescent="0.25">
      <c r="A27" s="196" t="s">
        <v>399</v>
      </c>
      <c r="B27" s="197" t="s">
        <v>389</v>
      </c>
      <c r="C27" s="20" t="s">
        <v>391</v>
      </c>
      <c r="D27" s="20"/>
      <c r="E27" s="196" t="s">
        <v>433</v>
      </c>
      <c r="F27" s="196" t="s">
        <v>463</v>
      </c>
      <c r="G27" s="196" t="s">
        <v>37</v>
      </c>
      <c r="H27" s="21"/>
      <c r="I27" s="196" t="s">
        <v>493</v>
      </c>
      <c r="J27" s="198">
        <v>31000</v>
      </c>
      <c r="K27" s="198">
        <v>0</v>
      </c>
      <c r="L27" s="198">
        <v>31000</v>
      </c>
      <c r="M27" s="198">
        <f t="shared" si="0"/>
        <v>31000</v>
      </c>
      <c r="N27" s="33"/>
      <c r="O27" s="80"/>
      <c r="P27" s="80">
        <f t="shared" si="1"/>
        <v>0</v>
      </c>
      <c r="Q27" s="35">
        <f t="shared" si="5"/>
        <v>0</v>
      </c>
      <c r="R27" s="277">
        <f t="shared" si="2"/>
        <v>0</v>
      </c>
      <c r="S27" s="2" t="b">
        <f>[2]FORM.2!$A$25=A27</f>
        <v>1</v>
      </c>
      <c r="T27" s="2" t="b">
        <f>E27=[2]FORM.2!$D$25</f>
        <v>1</v>
      </c>
      <c r="U27" s="2" t="b">
        <f>F27=[2]FORM.2!$E$25</f>
        <v>1</v>
      </c>
      <c r="V27" s="2" t="b">
        <f>G27=[2]FORM.2!$F$25</f>
        <v>1</v>
      </c>
      <c r="W27" s="2" t="b">
        <f>H27=[2]FORM.2!$G$6</f>
        <v>1</v>
      </c>
      <c r="X27" s="2" t="b">
        <f>I27=[2]FORM.2!$H$25</f>
        <v>1</v>
      </c>
      <c r="Y27" s="2" t="b">
        <f>J27=[2]FORM.2!$J$25</f>
        <v>1</v>
      </c>
      <c r="Z27" s="227">
        <v>0</v>
      </c>
      <c r="AA27" s="279">
        <f t="shared" si="3"/>
        <v>31000</v>
      </c>
      <c r="AB27" s="254">
        <f t="shared" si="4"/>
        <v>31000</v>
      </c>
    </row>
    <row r="28" spans="1:34" s="2" customFormat="1" ht="162.75" x14ac:dyDescent="0.25">
      <c r="A28" s="196" t="s">
        <v>411</v>
      </c>
      <c r="B28" s="197" t="s">
        <v>388</v>
      </c>
      <c r="C28" s="20" t="s">
        <v>391</v>
      </c>
      <c r="D28" s="20"/>
      <c r="E28" s="196" t="s">
        <v>434</v>
      </c>
      <c r="F28" s="196" t="s">
        <v>464</v>
      </c>
      <c r="G28" s="196" t="s">
        <v>34</v>
      </c>
      <c r="H28" s="21"/>
      <c r="I28" s="196" t="s">
        <v>494</v>
      </c>
      <c r="J28" s="198">
        <f>65378.12+23341.72</f>
        <v>88719.84</v>
      </c>
      <c r="K28" s="198">
        <v>0</v>
      </c>
      <c r="L28" s="198">
        <v>88719.84</v>
      </c>
      <c r="M28" s="198">
        <f t="shared" si="0"/>
        <v>88719.84</v>
      </c>
      <c r="N28" s="33"/>
      <c r="O28" s="80"/>
      <c r="P28" s="80">
        <f t="shared" si="1"/>
        <v>0</v>
      </c>
      <c r="Q28" s="35">
        <f t="shared" si="5"/>
        <v>0</v>
      </c>
      <c r="R28" s="277">
        <f t="shared" si="2"/>
        <v>0</v>
      </c>
      <c r="S28" s="2" t="b">
        <f>[2]FORM.2!$A$26=A28</f>
        <v>1</v>
      </c>
      <c r="T28" s="2" t="b">
        <f>E28=[2]FORM.2!$D$26</f>
        <v>1</v>
      </c>
      <c r="U28" s="2" t="b">
        <f>F28=[2]FORM.2!$E$26</f>
        <v>1</v>
      </c>
      <c r="V28" s="2" t="b">
        <f>G28=[2]FORM.2!$F$26</f>
        <v>1</v>
      </c>
      <c r="W28" s="2" t="b">
        <f>H28=[2]FORM.2!$G$6</f>
        <v>1</v>
      </c>
      <c r="X28" s="2" t="b">
        <f>I28=[2]FORM.2!$H$26</f>
        <v>1</v>
      </c>
      <c r="Y28" s="2" t="b">
        <f>J28=[2]FORM.2!$J$26</f>
        <v>1</v>
      </c>
      <c r="Z28" s="227">
        <v>0</v>
      </c>
      <c r="AA28" s="279">
        <f t="shared" si="3"/>
        <v>88719.84</v>
      </c>
      <c r="AB28" s="254">
        <f t="shared" si="4"/>
        <v>88719.84</v>
      </c>
    </row>
    <row r="29" spans="1:34" s="2" customFormat="1" ht="139.5" x14ac:dyDescent="0.25">
      <c r="A29" s="196" t="s">
        <v>412</v>
      </c>
      <c r="B29" s="197" t="s">
        <v>389</v>
      </c>
      <c r="C29" s="20" t="s">
        <v>391</v>
      </c>
      <c r="D29" s="20"/>
      <c r="E29" s="196" t="s">
        <v>435</v>
      </c>
      <c r="F29" s="196" t="s">
        <v>465</v>
      </c>
      <c r="G29" s="196" t="s">
        <v>134</v>
      </c>
      <c r="H29" s="21"/>
      <c r="I29" s="196" t="s">
        <v>495</v>
      </c>
      <c r="J29" s="198">
        <v>279513.93</v>
      </c>
      <c r="K29" s="198">
        <v>97456.5</v>
      </c>
      <c r="L29" s="198">
        <f>J29-K29</f>
        <v>182057.43</v>
      </c>
      <c r="M29" s="198">
        <f t="shared" si="0"/>
        <v>279513.93</v>
      </c>
      <c r="N29" s="33"/>
      <c r="O29" s="80"/>
      <c r="P29" s="80">
        <f t="shared" si="1"/>
        <v>0</v>
      </c>
      <c r="Q29" s="35">
        <f t="shared" si="5"/>
        <v>0</v>
      </c>
      <c r="R29" s="277">
        <f t="shared" si="2"/>
        <v>0</v>
      </c>
      <c r="S29" s="2" t="b">
        <f>[2]FORM.2!$A$27=A29</f>
        <v>1</v>
      </c>
      <c r="T29" s="2" t="b">
        <f>E29=[2]FORM.2!$D$27</f>
        <v>1</v>
      </c>
      <c r="U29" s="2" t="b">
        <f>F29=[2]FORM.2!$E$27</f>
        <v>1</v>
      </c>
      <c r="V29" s="2" t="b">
        <f>G29=[2]FORM.2!$F$27</f>
        <v>1</v>
      </c>
      <c r="W29" s="2" t="b">
        <f>H29=[2]FORM.2!$G$6</f>
        <v>1</v>
      </c>
      <c r="X29" s="2" t="b">
        <f>I29=[2]FORM.2!$H$27</f>
        <v>1</v>
      </c>
      <c r="Y29" s="2" t="b">
        <f>J29=[2]FORM.2!$J$27</f>
        <v>1</v>
      </c>
      <c r="Z29" s="253" t="e">
        <f>#REF!</f>
        <v>#REF!</v>
      </c>
      <c r="AA29" s="279" t="e">
        <f t="shared" si="3"/>
        <v>#REF!</v>
      </c>
      <c r="AB29" s="254">
        <f t="shared" si="4"/>
        <v>279513.93</v>
      </c>
    </row>
    <row r="30" spans="1:34" s="2" customFormat="1" ht="139.5" x14ac:dyDescent="0.25">
      <c r="A30" s="196" t="s">
        <v>411</v>
      </c>
      <c r="B30" s="197" t="s">
        <v>388</v>
      </c>
      <c r="C30" s="20" t="s">
        <v>391</v>
      </c>
      <c r="D30" s="20"/>
      <c r="E30" s="196" t="s">
        <v>436</v>
      </c>
      <c r="F30" s="196" t="s">
        <v>466</v>
      </c>
      <c r="G30" s="196" t="s">
        <v>39</v>
      </c>
      <c r="H30" s="21"/>
      <c r="I30" s="196" t="s">
        <v>496</v>
      </c>
      <c r="J30" s="198">
        <v>400000</v>
      </c>
      <c r="K30" s="198">
        <v>0</v>
      </c>
      <c r="L30" s="198">
        <v>400000</v>
      </c>
      <c r="M30" s="198">
        <f t="shared" si="0"/>
        <v>400000</v>
      </c>
      <c r="N30" s="198">
        <v>400000</v>
      </c>
      <c r="O30" s="80"/>
      <c r="P30" s="80">
        <f t="shared" ref="P30:P38" si="6">IFERROR(O30/M30*100,)</f>
        <v>0</v>
      </c>
      <c r="Q30" s="35">
        <f t="shared" si="5"/>
        <v>0</v>
      </c>
      <c r="R30" s="277">
        <f t="shared" si="2"/>
        <v>0</v>
      </c>
      <c r="S30" s="2" t="b">
        <f>[2]FORM.2!$A$28=A30</f>
        <v>1</v>
      </c>
      <c r="T30" s="2" t="b">
        <f>E30=[2]FORM.2!$D$28</f>
        <v>1</v>
      </c>
      <c r="U30" s="2" t="b">
        <f>F30=[2]FORM.2!$E$28</f>
        <v>1</v>
      </c>
      <c r="V30" s="2" t="b">
        <f>G30=[2]FORM.2!$F$28</f>
        <v>1</v>
      </c>
      <c r="W30" s="2" t="b">
        <f>H30=[2]FORM.2!$G$6</f>
        <v>1</v>
      </c>
      <c r="X30" s="2" t="b">
        <f>I30=[2]FORM.2!$H$28</f>
        <v>1</v>
      </c>
      <c r="Y30" s="2" t="b">
        <f>J30=[2]FORM.2!$J$28</f>
        <v>1</v>
      </c>
      <c r="Z30" s="227">
        <v>0</v>
      </c>
      <c r="AA30" s="279">
        <f t="shared" si="3"/>
        <v>400000</v>
      </c>
      <c r="AB30" s="254">
        <f t="shared" si="4"/>
        <v>400000</v>
      </c>
    </row>
    <row r="31" spans="1:34" s="2" customFormat="1" ht="116.25" x14ac:dyDescent="0.25">
      <c r="A31" s="196" t="s">
        <v>411</v>
      </c>
      <c r="B31" s="197" t="s">
        <v>388</v>
      </c>
      <c r="C31" s="20" t="s">
        <v>393</v>
      </c>
      <c r="D31" s="20"/>
      <c r="E31" s="196" t="s">
        <v>437</v>
      </c>
      <c r="F31" s="196" t="s">
        <v>467</v>
      </c>
      <c r="G31" s="196" t="s">
        <v>39</v>
      </c>
      <c r="H31" s="21"/>
      <c r="I31" s="196" t="s">
        <v>497</v>
      </c>
      <c r="J31" s="198">
        <v>160000</v>
      </c>
      <c r="K31" s="198">
        <v>0</v>
      </c>
      <c r="L31" s="198">
        <v>400000</v>
      </c>
      <c r="M31" s="198">
        <v>400000</v>
      </c>
      <c r="N31" s="198">
        <v>400000</v>
      </c>
      <c r="O31" s="80"/>
      <c r="P31" s="80">
        <f t="shared" si="6"/>
        <v>0</v>
      </c>
      <c r="Q31" s="35">
        <f t="shared" si="5"/>
        <v>240000</v>
      </c>
      <c r="R31" s="277">
        <f t="shared" si="2"/>
        <v>150</v>
      </c>
      <c r="S31" s="2" t="b">
        <f>[2]FORM.2!$A$29=A31</f>
        <v>1</v>
      </c>
      <c r="T31" s="2" t="b">
        <f>E31=[2]FORM.2!$D$29</f>
        <v>1</v>
      </c>
      <c r="U31" s="2" t="b">
        <f>F31=[2]FORM.2!$E$29</f>
        <v>1</v>
      </c>
      <c r="V31" s="2" t="b">
        <f>G31=[2]FORM.2!$F$29</f>
        <v>1</v>
      </c>
      <c r="W31" s="2" t="b">
        <f>H31=[2]FORM.2!$G$6</f>
        <v>1</v>
      </c>
      <c r="X31" s="2" t="b">
        <f>I31=[2]FORM.2!$H$29</f>
        <v>1</v>
      </c>
      <c r="Y31" s="2" t="b">
        <f>J31=[2]FORM.2!$J$29</f>
        <v>1</v>
      </c>
      <c r="Z31" s="227">
        <v>0</v>
      </c>
      <c r="AA31" s="279">
        <f t="shared" si="3"/>
        <v>400000</v>
      </c>
      <c r="AB31" s="280">
        <f t="shared" si="4"/>
        <v>400000</v>
      </c>
      <c r="AC31" s="256"/>
    </row>
    <row r="32" spans="1:34" s="2" customFormat="1" ht="139.5" x14ac:dyDescent="0.25">
      <c r="A32" s="196" t="s">
        <v>402</v>
      </c>
      <c r="B32" s="197" t="s">
        <v>389</v>
      </c>
      <c r="C32" s="20" t="s">
        <v>393</v>
      </c>
      <c r="D32" s="20"/>
      <c r="E32" s="196" t="s">
        <v>438</v>
      </c>
      <c r="F32" s="196" t="s">
        <v>468</v>
      </c>
      <c r="G32" s="196" t="s">
        <v>27</v>
      </c>
      <c r="H32" s="21"/>
      <c r="I32" s="196" t="s">
        <v>498</v>
      </c>
      <c r="J32" s="198">
        <v>195944.99</v>
      </c>
      <c r="K32" s="198">
        <v>81643.8</v>
      </c>
      <c r="L32" s="198">
        <f>225980.06-K32</f>
        <v>144336.26</v>
      </c>
      <c r="M32" s="198">
        <f t="shared" si="0"/>
        <v>225980.06</v>
      </c>
      <c r="N32" s="198">
        <v>30035.07</v>
      </c>
      <c r="O32" s="281"/>
      <c r="P32" s="281">
        <f t="shared" si="6"/>
        <v>0</v>
      </c>
      <c r="Q32" s="282">
        <f t="shared" si="5"/>
        <v>30035.070000000007</v>
      </c>
      <c r="R32" s="283">
        <f t="shared" si="2"/>
        <v>15.328317401736072</v>
      </c>
      <c r="S32" s="284" t="b">
        <f>[2]FORM.2!$A$30=A32</f>
        <v>1</v>
      </c>
      <c r="T32" s="284" t="b">
        <f>E32=[2]FORM.2!$D$30</f>
        <v>1</v>
      </c>
      <c r="U32" s="284" t="b">
        <f>F32=[2]FORM.2!$E$30</f>
        <v>1</v>
      </c>
      <c r="V32" s="284" t="b">
        <f>G32=[2]FORM.2!$F$30</f>
        <v>1</v>
      </c>
      <c r="W32" s="284" t="b">
        <f>H32=[2]FORM.2!$G$6</f>
        <v>1</v>
      </c>
      <c r="X32" s="284" t="b">
        <f>I32=[2]FORM.2!$H$30</f>
        <v>1</v>
      </c>
      <c r="Y32" s="284" t="b">
        <f>J32=[2]FORM.2!$J$30</f>
        <v>1</v>
      </c>
      <c r="Z32" s="253" t="e">
        <f>#REF!</f>
        <v>#REF!</v>
      </c>
      <c r="AA32" s="279" t="e">
        <f t="shared" si="3"/>
        <v>#REF!</v>
      </c>
      <c r="AB32" s="280">
        <f t="shared" si="4"/>
        <v>225980.06</v>
      </c>
      <c r="AC32" s="225">
        <v>225980.06</v>
      </c>
      <c r="AD32" s="255"/>
      <c r="AH32" s="268"/>
    </row>
    <row r="33" spans="1:46" s="2" customFormat="1" ht="116.25" x14ac:dyDescent="0.25">
      <c r="A33" s="196" t="s">
        <v>402</v>
      </c>
      <c r="B33" s="197" t="s">
        <v>389</v>
      </c>
      <c r="C33" s="20" t="s">
        <v>393</v>
      </c>
      <c r="D33" s="20"/>
      <c r="E33" s="196" t="s">
        <v>439</v>
      </c>
      <c r="F33" s="196" t="s">
        <v>469</v>
      </c>
      <c r="G33" s="196" t="s">
        <v>134</v>
      </c>
      <c r="H33" s="21"/>
      <c r="I33" s="196" t="s">
        <v>499</v>
      </c>
      <c r="J33" s="198">
        <v>23724.28</v>
      </c>
      <c r="K33" s="198">
        <v>9885.0499999999993</v>
      </c>
      <c r="L33" s="198">
        <f>33121.4-K33</f>
        <v>23236.350000000002</v>
      </c>
      <c r="M33" s="198">
        <f t="shared" si="0"/>
        <v>33121.4</v>
      </c>
      <c r="N33" s="198">
        <v>9397.1200000000008</v>
      </c>
      <c r="O33" s="281"/>
      <c r="P33" s="281">
        <f t="shared" si="6"/>
        <v>0</v>
      </c>
      <c r="Q33" s="282">
        <f t="shared" si="5"/>
        <v>9397.1200000000026</v>
      </c>
      <c r="R33" s="283">
        <f t="shared" si="2"/>
        <v>39.609716290652457</v>
      </c>
      <c r="S33" s="284" t="b">
        <f>[2]FORM.2!$A$31=A33</f>
        <v>1</v>
      </c>
      <c r="T33" s="284" t="b">
        <f>E33=[2]FORM.2!$D$31</f>
        <v>1</v>
      </c>
      <c r="U33" s="284" t="b">
        <f>F33=[2]FORM.2!$E$31</f>
        <v>1</v>
      </c>
      <c r="V33" s="284" t="b">
        <f>G33=[2]FORM.2!$F$31</f>
        <v>1</v>
      </c>
      <c r="W33" s="284" t="b">
        <f>H33=[2]FORM.2!$G$6</f>
        <v>1</v>
      </c>
      <c r="X33" s="284" t="b">
        <f>I33=[2]FORM.2!$H$31</f>
        <v>1</v>
      </c>
      <c r="Y33" s="284" t="b">
        <f>J33=[2]FORM.2!$J$31</f>
        <v>1</v>
      </c>
      <c r="Z33" s="253" t="e">
        <f>#REF!</f>
        <v>#REF!</v>
      </c>
      <c r="AA33" s="279" t="e">
        <f t="shared" si="3"/>
        <v>#REF!</v>
      </c>
      <c r="AB33" s="280">
        <f t="shared" si="4"/>
        <v>33121.4</v>
      </c>
      <c r="AC33" s="225">
        <v>33121.4</v>
      </c>
      <c r="AD33" s="255"/>
      <c r="AH33" s="259"/>
      <c r="AJ33" s="259"/>
    </row>
    <row r="34" spans="1:46" s="2" customFormat="1" ht="93" x14ac:dyDescent="0.25">
      <c r="A34" s="196" t="s">
        <v>413</v>
      </c>
      <c r="B34" s="197" t="s">
        <v>389</v>
      </c>
      <c r="C34" s="20" t="s">
        <v>391</v>
      </c>
      <c r="D34" s="20"/>
      <c r="E34" s="196" t="s">
        <v>440</v>
      </c>
      <c r="F34" s="196" t="s">
        <v>470</v>
      </c>
      <c r="G34" s="196" t="s">
        <v>27</v>
      </c>
      <c r="H34" s="21"/>
      <c r="I34" s="196" t="s">
        <v>500</v>
      </c>
      <c r="J34" s="198">
        <v>301186.82</v>
      </c>
      <c r="K34" s="198">
        <v>105455.13</v>
      </c>
      <c r="L34" s="198">
        <f>J34-K34</f>
        <v>195731.69</v>
      </c>
      <c r="M34" s="198">
        <f t="shared" si="0"/>
        <v>301186.82</v>
      </c>
      <c r="N34" s="198"/>
      <c r="O34" s="80"/>
      <c r="P34" s="80">
        <f t="shared" si="6"/>
        <v>0</v>
      </c>
      <c r="Q34" s="35">
        <f t="shared" si="5"/>
        <v>0</v>
      </c>
      <c r="R34" s="277">
        <f t="shared" si="2"/>
        <v>0</v>
      </c>
      <c r="S34" s="2" t="b">
        <f>[2]FORM.2!$A$32=A34</f>
        <v>1</v>
      </c>
      <c r="T34" s="2" t="b">
        <f>E34=[2]FORM.2!$D$32</f>
        <v>1</v>
      </c>
      <c r="U34" s="2" t="b">
        <f>F34=[2]FORM.2!$E$32</f>
        <v>1</v>
      </c>
      <c r="V34" s="2" t="b">
        <f>G34=[2]FORM.2!$F$32</f>
        <v>1</v>
      </c>
      <c r="W34" s="2" t="b">
        <f>H34=[2]FORM.2!$G$6</f>
        <v>1</v>
      </c>
      <c r="X34" s="2" t="b">
        <f>I34=[2]FORM.2!$H$32</f>
        <v>1</v>
      </c>
      <c r="Y34" s="213" t="b">
        <f>J34=[2]FORM.2!$J$32</f>
        <v>1</v>
      </c>
      <c r="Z34" s="253" t="e">
        <f>#REF!</f>
        <v>#REF!</v>
      </c>
      <c r="AA34" s="279" t="e">
        <f t="shared" si="3"/>
        <v>#REF!</v>
      </c>
      <c r="AB34" s="254">
        <f t="shared" si="4"/>
        <v>301186.82</v>
      </c>
      <c r="AH34" s="255"/>
      <c r="AJ34" s="258"/>
    </row>
    <row r="35" spans="1:46" s="2" customFormat="1" ht="69.75" x14ac:dyDescent="0.25">
      <c r="A35" s="196" t="s">
        <v>411</v>
      </c>
      <c r="B35" s="197" t="s">
        <v>389</v>
      </c>
      <c r="C35" s="20" t="s">
        <v>393</v>
      </c>
      <c r="D35" s="20"/>
      <c r="E35" s="196" t="s">
        <v>441</v>
      </c>
      <c r="F35" s="196" t="s">
        <v>471</v>
      </c>
      <c r="G35" s="196" t="s">
        <v>35</v>
      </c>
      <c r="H35" s="21"/>
      <c r="I35" s="196" t="s">
        <v>501</v>
      </c>
      <c r="J35" s="198">
        <v>10000</v>
      </c>
      <c r="K35" s="198">
        <v>0</v>
      </c>
      <c r="L35" s="198">
        <v>38000</v>
      </c>
      <c r="M35" s="198">
        <f t="shared" si="0"/>
        <v>38000</v>
      </c>
      <c r="N35" s="198"/>
      <c r="O35" s="80"/>
      <c r="P35" s="80">
        <f t="shared" si="6"/>
        <v>0</v>
      </c>
      <c r="Q35" s="35">
        <f t="shared" si="5"/>
        <v>28000</v>
      </c>
      <c r="R35" s="277">
        <f t="shared" si="2"/>
        <v>280</v>
      </c>
      <c r="S35" s="2" t="b">
        <f>[2]FORM.2!$A$33=A35</f>
        <v>1</v>
      </c>
      <c r="T35" s="2" t="b">
        <f>E35=[2]FORM.2!$D$33</f>
        <v>1</v>
      </c>
      <c r="U35" s="2" t="b">
        <f>F35=[2]FORM.2!$E$33</f>
        <v>1</v>
      </c>
      <c r="V35" s="2" t="b">
        <f>G35=[2]FORM.2!$F$33</f>
        <v>1</v>
      </c>
      <c r="W35" s="2" t="b">
        <f>H35=[2]FORM.2!$G$6</f>
        <v>1</v>
      </c>
      <c r="X35" s="2" t="b">
        <f>I35=[2]FORM.2!$H$33</f>
        <v>1</v>
      </c>
      <c r="Y35" s="2" t="b">
        <f>J35=[2]FORM.2!$J$33</f>
        <v>1</v>
      </c>
      <c r="Z35" s="227">
        <v>0</v>
      </c>
      <c r="AA35" s="279">
        <f t="shared" si="3"/>
        <v>38000</v>
      </c>
      <c r="AB35" s="254">
        <f t="shared" si="4"/>
        <v>38000</v>
      </c>
    </row>
    <row r="36" spans="1:46" s="2" customFormat="1" ht="139.5" x14ac:dyDescent="0.25">
      <c r="A36" s="196" t="s">
        <v>398</v>
      </c>
      <c r="B36" s="197" t="s">
        <v>388</v>
      </c>
      <c r="C36" s="20" t="s">
        <v>392</v>
      </c>
      <c r="D36" s="20"/>
      <c r="E36" s="196" t="s">
        <v>442</v>
      </c>
      <c r="F36" s="196" t="s">
        <v>472</v>
      </c>
      <c r="G36" s="196" t="s">
        <v>39</v>
      </c>
      <c r="H36" s="21"/>
      <c r="I36" s="196" t="s">
        <v>496</v>
      </c>
      <c r="J36" s="198">
        <v>0</v>
      </c>
      <c r="K36" s="198">
        <v>0</v>
      </c>
      <c r="L36" s="198">
        <v>2000000</v>
      </c>
      <c r="M36" s="198">
        <f t="shared" si="0"/>
        <v>2000000</v>
      </c>
      <c r="N36" s="198">
        <v>2000000</v>
      </c>
      <c r="O36" s="80"/>
      <c r="P36" s="80">
        <f t="shared" si="6"/>
        <v>0</v>
      </c>
      <c r="Q36" s="35">
        <f t="shared" si="5"/>
        <v>2000000</v>
      </c>
      <c r="R36" s="277">
        <f t="shared" si="2"/>
        <v>0</v>
      </c>
      <c r="S36" s="2" t="b">
        <f>[2]FORM.2!$A$34=A36</f>
        <v>1</v>
      </c>
      <c r="T36" s="2" t="b">
        <f>E36=[2]FORM.2!$D$34</f>
        <v>1</v>
      </c>
      <c r="U36" s="2" t="b">
        <f>F36=[2]FORM.2!$E$34</f>
        <v>1</v>
      </c>
      <c r="V36" s="2" t="b">
        <f>G36=[2]FORM.2!$F$34</f>
        <v>1</v>
      </c>
      <c r="W36" s="2" t="b">
        <f>H36=[2]FORM.2!$G$6</f>
        <v>1</v>
      </c>
      <c r="X36" s="2" t="b">
        <f>I36=[2]FORM.2!$H$34</f>
        <v>1</v>
      </c>
      <c r="Y36" s="2" t="b">
        <f>J36=[2]FORM.2!$J$34</f>
        <v>1</v>
      </c>
      <c r="Z36" s="227"/>
      <c r="AA36" s="279">
        <f t="shared" si="3"/>
        <v>2000000</v>
      </c>
      <c r="AB36" s="254">
        <f t="shared" si="4"/>
        <v>2000000</v>
      </c>
    </row>
    <row r="37" spans="1:46" s="2" customFormat="1" ht="116.25" customHeight="1" x14ac:dyDescent="0.25">
      <c r="A37" s="196" t="s">
        <v>411</v>
      </c>
      <c r="B37" s="197" t="s">
        <v>388</v>
      </c>
      <c r="C37" s="20" t="s">
        <v>394</v>
      </c>
      <c r="D37" s="20"/>
      <c r="E37" s="196" t="s">
        <v>443</v>
      </c>
      <c r="F37" s="196" t="s">
        <v>473</v>
      </c>
      <c r="G37" s="196" t="s">
        <v>36</v>
      </c>
      <c r="H37" s="21"/>
      <c r="I37" s="196" t="s">
        <v>502</v>
      </c>
      <c r="J37" s="198">
        <v>50000</v>
      </c>
      <c r="K37" s="198">
        <v>0</v>
      </c>
      <c r="L37" s="198">
        <v>0</v>
      </c>
      <c r="M37" s="198">
        <f t="shared" si="0"/>
        <v>0</v>
      </c>
      <c r="N37" s="33"/>
      <c r="O37" s="80"/>
      <c r="P37" s="80">
        <f t="shared" si="6"/>
        <v>0</v>
      </c>
      <c r="Q37" s="35">
        <f t="shared" si="5"/>
        <v>-50000</v>
      </c>
      <c r="R37" s="277">
        <f t="shared" si="2"/>
        <v>-100</v>
      </c>
      <c r="S37" s="2" t="b">
        <f>[2]FORM.2!$A$36=A37</f>
        <v>1</v>
      </c>
      <c r="T37" s="2" t="b">
        <f>E37=[2]FORM.2!$D$36</f>
        <v>1</v>
      </c>
      <c r="U37" s="2" t="b">
        <f>F37=[2]FORM.2!$E$36</f>
        <v>1</v>
      </c>
      <c r="V37" s="2" t="b">
        <f>G37=[2]FORM.2!$F$36</f>
        <v>1</v>
      </c>
      <c r="W37" s="2" t="b">
        <f>H37=[2]FORM.2!$G$6</f>
        <v>1</v>
      </c>
      <c r="X37" s="2" t="b">
        <f>I37=[2]FORM.2!$H$36</f>
        <v>1</v>
      </c>
      <c r="Y37" s="2" t="b">
        <f>J37=[2]FORM.2!$J$36</f>
        <v>1</v>
      </c>
      <c r="Z37" s="227">
        <v>0</v>
      </c>
      <c r="AA37" s="279">
        <f t="shared" si="3"/>
        <v>0</v>
      </c>
      <c r="AB37" s="254">
        <f t="shared" si="4"/>
        <v>0</v>
      </c>
      <c r="AE37" s="194"/>
      <c r="AF37" s="194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</row>
    <row r="38" spans="1:46" s="2" customFormat="1" ht="46.5" x14ac:dyDescent="0.25">
      <c r="A38" s="196" t="s">
        <v>411</v>
      </c>
      <c r="B38" s="20" t="s">
        <v>388</v>
      </c>
      <c r="C38" s="20" t="s">
        <v>392</v>
      </c>
      <c r="D38" s="20"/>
      <c r="E38" s="196" t="s">
        <v>505</v>
      </c>
      <c r="F38" s="21" t="s">
        <v>506</v>
      </c>
      <c r="G38" s="196" t="s">
        <v>36</v>
      </c>
      <c r="H38" s="21"/>
      <c r="I38" s="21" t="s">
        <v>507</v>
      </c>
      <c r="J38" s="33">
        <v>0</v>
      </c>
      <c r="K38" s="198">
        <v>0</v>
      </c>
      <c r="L38" s="198">
        <v>20621.740000000002</v>
      </c>
      <c r="M38" s="198">
        <f t="shared" si="0"/>
        <v>20621.740000000002</v>
      </c>
      <c r="N38" s="33"/>
      <c r="O38" s="80"/>
      <c r="P38" s="80">
        <f t="shared" si="6"/>
        <v>0</v>
      </c>
      <c r="Q38" s="35">
        <f t="shared" si="5"/>
        <v>20621.740000000002</v>
      </c>
      <c r="R38" s="277">
        <f t="shared" si="2"/>
        <v>0</v>
      </c>
      <c r="S38" s="465" t="s">
        <v>508</v>
      </c>
      <c r="T38" s="466"/>
      <c r="U38" s="466"/>
      <c r="V38" s="466"/>
      <c r="W38" s="466"/>
      <c r="X38" s="466"/>
      <c r="Y38" s="466"/>
      <c r="Z38" s="466"/>
      <c r="AA38" s="279">
        <f t="shared" si="3"/>
        <v>20621.740000000002</v>
      </c>
      <c r="AB38" s="254">
        <f t="shared" si="4"/>
        <v>20621.740000000002</v>
      </c>
      <c r="AE38" s="194"/>
      <c r="AF38" s="194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</row>
    <row r="39" spans="1:46" s="2" customFormat="1" ht="24" thickBot="1" x14ac:dyDescent="0.3">
      <c r="A39" s="473" t="s">
        <v>6</v>
      </c>
      <c r="B39" s="474"/>
      <c r="C39" s="474"/>
      <c r="D39" s="474"/>
      <c r="E39" s="474"/>
      <c r="F39" s="474"/>
      <c r="G39" s="474"/>
      <c r="H39" s="474"/>
      <c r="I39" s="475"/>
      <c r="J39" s="34">
        <f t="shared" ref="J39:Q39" si="7">SUM(J8:J38)</f>
        <v>3869248.67</v>
      </c>
      <c r="K39" s="34">
        <f t="shared" si="7"/>
        <v>845296.89000000013</v>
      </c>
      <c r="L39" s="34">
        <f t="shared" si="7"/>
        <v>5455828.9800000004</v>
      </c>
      <c r="M39" s="269">
        <f t="shared" si="7"/>
        <v>6301125.8700000001</v>
      </c>
      <c r="N39" s="34">
        <f t="shared" si="7"/>
        <v>2839432.19</v>
      </c>
      <c r="O39" s="34">
        <f t="shared" si="7"/>
        <v>0</v>
      </c>
      <c r="P39" s="34">
        <f t="shared" si="7"/>
        <v>0</v>
      </c>
      <c r="Q39" s="34">
        <f t="shared" si="7"/>
        <v>2431877.2000000002</v>
      </c>
      <c r="R39" s="278">
        <f t="shared" si="2"/>
        <v>62.851406239547799</v>
      </c>
      <c r="S39" s="2">
        <f t="shared" ref="S39:Y39" si="8">SUM(S8:S38)</f>
        <v>0</v>
      </c>
      <c r="T39" s="2">
        <f t="shared" si="8"/>
        <v>0</v>
      </c>
      <c r="U39" s="2">
        <f t="shared" si="8"/>
        <v>0</v>
      </c>
      <c r="V39" s="2">
        <f t="shared" si="8"/>
        <v>0</v>
      </c>
      <c r="W39" s="2">
        <f t="shared" si="8"/>
        <v>0</v>
      </c>
      <c r="X39" s="2">
        <f t="shared" si="8"/>
        <v>0</v>
      </c>
      <c r="Y39" s="2">
        <f t="shared" si="8"/>
        <v>0</v>
      </c>
      <c r="Z39" s="286" t="e">
        <f>SUM(Z8:Z38)</f>
        <v>#REF!</v>
      </c>
      <c r="AA39" s="227"/>
      <c r="AB39" s="222"/>
      <c r="AE39" s="194"/>
      <c r="AF39" s="194"/>
      <c r="AG39" s="225"/>
      <c r="AH39" s="261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</row>
    <row r="40" spans="1:46" s="2" customFormat="1" x14ac:dyDescent="0.3">
      <c r="A40" s="467" t="s">
        <v>189</v>
      </c>
      <c r="B40" s="467"/>
      <c r="C40" s="467"/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7"/>
      <c r="P40" s="467"/>
      <c r="Q40" s="467"/>
      <c r="R40" s="467"/>
      <c r="Z40" s="227"/>
      <c r="AA40" s="227"/>
      <c r="AB40" s="222"/>
      <c r="AE40" s="194"/>
      <c r="AF40" s="194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</row>
    <row r="41" spans="1:46" s="2" customFormat="1" x14ac:dyDescent="0.25">
      <c r="A41" s="469" t="s">
        <v>211</v>
      </c>
      <c r="B41" s="469"/>
      <c r="C41" s="469"/>
      <c r="D41" s="469"/>
      <c r="E41" s="469"/>
      <c r="F41" s="469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  <c r="Z41" s="227"/>
      <c r="AA41" s="227"/>
      <c r="AB41" s="222"/>
      <c r="AE41" s="194"/>
      <c r="AF41" s="194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</row>
    <row r="42" spans="1:46" s="2" customFormat="1" x14ac:dyDescent="0.25">
      <c r="A42" s="468"/>
      <c r="B42" s="468"/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Z42" s="227"/>
      <c r="AA42" s="227"/>
      <c r="AB42" s="255">
        <f>M39-N36-N33-N32-N31-N30</f>
        <v>3461693.6799999997</v>
      </c>
      <c r="AC42" s="226"/>
    </row>
    <row r="43" spans="1:46" s="2" customFormat="1" ht="15" customHeight="1" x14ac:dyDescent="0.35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Z43" s="227"/>
      <c r="AA43" s="227"/>
      <c r="AB43" s="222"/>
      <c r="AC43" s="226"/>
    </row>
    <row r="44" spans="1:46" x14ac:dyDescent="0.35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</row>
    <row r="45" spans="1:46" x14ac:dyDescent="0.35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</row>
    <row r="46" spans="1:46" x14ac:dyDescent="0.35">
      <c r="A46" s="204"/>
      <c r="B46" s="204"/>
      <c r="C46" s="204"/>
      <c r="D46" s="204"/>
      <c r="E46" s="204"/>
      <c r="F46" s="204"/>
      <c r="G46" s="204"/>
      <c r="H46" s="204"/>
      <c r="I46" s="204"/>
      <c r="J46" s="307"/>
      <c r="K46" s="307"/>
      <c r="L46" s="307"/>
      <c r="M46" s="307"/>
      <c r="N46" s="7"/>
      <c r="O46" s="204"/>
      <c r="P46" s="204"/>
      <c r="Q46" s="204"/>
      <c r="R46" s="204"/>
      <c r="AB46" s="224" t="s">
        <v>515</v>
      </c>
      <c r="AC46" s="124">
        <f>SUMIF(B8:B38,"p",L8:L38)</f>
        <v>2969963.3400000003</v>
      </c>
      <c r="AD46" s="87"/>
    </row>
    <row r="47" spans="1:46" x14ac:dyDescent="0.35">
      <c r="A47" s="204"/>
      <c r="B47" s="204"/>
      <c r="C47" s="204"/>
      <c r="D47" s="204"/>
      <c r="E47" s="204"/>
      <c r="F47" s="204"/>
      <c r="G47" s="204"/>
      <c r="H47" s="204"/>
      <c r="I47" s="204"/>
      <c r="J47" s="7"/>
      <c r="K47" s="307"/>
      <c r="L47" s="308"/>
      <c r="M47" s="307"/>
      <c r="N47" s="307"/>
      <c r="O47" s="204"/>
      <c r="P47" s="204"/>
      <c r="Q47" s="264" t="s">
        <v>519</v>
      </c>
      <c r="R47" s="204"/>
      <c r="AD47" s="87"/>
    </row>
    <row r="48" spans="1:46" x14ac:dyDescent="0.35">
      <c r="A48" s="204"/>
      <c r="B48" s="204"/>
      <c r="C48" s="204"/>
      <c r="D48" s="204"/>
      <c r="E48" s="204"/>
      <c r="F48" s="204"/>
      <c r="G48" s="204"/>
      <c r="H48" s="204"/>
      <c r="I48" s="204"/>
      <c r="J48" s="307"/>
      <c r="K48" s="307"/>
      <c r="L48" s="307"/>
      <c r="M48" s="308"/>
      <c r="N48" s="307"/>
      <c r="O48" s="204"/>
      <c r="P48" s="204"/>
      <c r="Q48" s="204"/>
      <c r="R48" s="204"/>
      <c r="AB48" s="224" t="s">
        <v>514</v>
      </c>
      <c r="AC48" s="124">
        <f>SUMIF(B8:B38,"a",L8:L38)</f>
        <v>2485865.6399999997</v>
      </c>
      <c r="AD48" s="87"/>
    </row>
    <row r="49" spans="8:30" ht="26.25" x14ac:dyDescent="0.4">
      <c r="H49" s="204"/>
      <c r="I49" s="204"/>
      <c r="J49" s="307"/>
      <c r="K49" s="307"/>
      <c r="L49" s="307"/>
      <c r="M49" s="308"/>
      <c r="N49" s="307"/>
      <c r="Q49" s="257"/>
      <c r="AC49" s="124">
        <f>AC46+AC48</f>
        <v>5455828.9800000004</v>
      </c>
      <c r="AD49" s="7"/>
    </row>
    <row r="50" spans="8:30" x14ac:dyDescent="0.35">
      <c r="H50" s="204"/>
      <c r="I50" s="204"/>
      <c r="J50" s="307"/>
      <c r="K50" s="307"/>
      <c r="L50" s="307"/>
      <c r="M50" s="308"/>
      <c r="N50" s="307"/>
      <c r="AD50" s="7"/>
    </row>
    <row r="51" spans="8:30" x14ac:dyDescent="0.35">
      <c r="H51" s="204"/>
      <c r="I51" s="204"/>
      <c r="J51" s="307"/>
      <c r="K51" s="307"/>
      <c r="L51" s="307"/>
      <c r="M51" s="308"/>
      <c r="N51" s="307"/>
      <c r="AB51" s="224" t="s">
        <v>516</v>
      </c>
      <c r="AC51" s="262">
        <f>M32+M33</f>
        <v>259101.46</v>
      </c>
      <c r="AD51" s="7"/>
    </row>
    <row r="52" spans="8:30" x14ac:dyDescent="0.35">
      <c r="H52" s="204"/>
      <c r="I52" s="204"/>
      <c r="J52" s="307"/>
      <c r="K52" s="307"/>
      <c r="L52" s="307"/>
      <c r="M52" s="308"/>
      <c r="N52" s="307"/>
      <c r="AB52" s="224" t="s">
        <v>517</v>
      </c>
      <c r="AC52" s="263">
        <f>M25</f>
        <v>72887.990000000005</v>
      </c>
      <c r="AD52" s="7"/>
    </row>
    <row r="53" spans="8:30" x14ac:dyDescent="0.35">
      <c r="H53" s="204"/>
      <c r="I53" s="204"/>
      <c r="J53" s="307"/>
      <c r="K53" s="307"/>
      <c r="L53" s="307"/>
      <c r="M53" s="309"/>
      <c r="N53" s="307"/>
      <c r="AB53" s="224" t="s">
        <v>518</v>
      </c>
      <c r="AC53" s="263">
        <f>M35</f>
        <v>38000</v>
      </c>
      <c r="AD53" s="7"/>
    </row>
    <row r="54" spans="8:30" x14ac:dyDescent="0.35">
      <c r="H54" s="204"/>
      <c r="I54" s="204"/>
      <c r="J54" s="307"/>
      <c r="K54" s="307"/>
      <c r="L54" s="7"/>
      <c r="M54" s="7"/>
      <c r="N54" s="7"/>
      <c r="AC54" s="262">
        <f>AC49+AC51+AC52+AC53</f>
        <v>5825818.4300000006</v>
      </c>
      <c r="AD54" s="7"/>
    </row>
    <row r="55" spans="8:30" x14ac:dyDescent="0.35">
      <c r="H55" s="204"/>
      <c r="I55" s="204"/>
      <c r="J55" s="307"/>
      <c r="K55" s="307"/>
      <c r="L55" s="7"/>
      <c r="M55" s="7"/>
      <c r="N55" s="7"/>
      <c r="AD55" s="7"/>
    </row>
    <row r="56" spans="8:30" x14ac:dyDescent="0.35">
      <c r="H56" s="204"/>
      <c r="I56" s="204"/>
      <c r="J56" s="307"/>
      <c r="K56" s="307"/>
      <c r="L56" s="7"/>
      <c r="M56" s="7"/>
      <c r="N56" s="7"/>
      <c r="AD56" s="7"/>
    </row>
  </sheetData>
  <sheetProtection formatCells="0" formatRows="0" insertRows="0" deleteRows="0"/>
  <autoFilter ref="A6:R42">
    <filterColumn colId="1">
      <customFilters>
        <customFilter operator="notEqual" val=" "/>
      </customFilters>
    </filterColumn>
    <filterColumn colId="10" showButton="0"/>
    <filterColumn colId="16" showButton="0"/>
  </autoFilter>
  <mergeCells count="25">
    <mergeCell ref="S38:Z38"/>
    <mergeCell ref="A40:R40"/>
    <mergeCell ref="C6:C7"/>
    <mergeCell ref="A42:R42"/>
    <mergeCell ref="A41:R41"/>
    <mergeCell ref="J6:J7"/>
    <mergeCell ref="O6:O7"/>
    <mergeCell ref="M6:M7"/>
    <mergeCell ref="A39:I39"/>
    <mergeCell ref="H6:H7"/>
    <mergeCell ref="P6:P7"/>
    <mergeCell ref="I6:I7"/>
    <mergeCell ref="A2:R2"/>
    <mergeCell ref="K6:L6"/>
    <mergeCell ref="D6:D7"/>
    <mergeCell ref="N6:N7"/>
    <mergeCell ref="A5:N5"/>
    <mergeCell ref="O5:R5"/>
    <mergeCell ref="A3:R3"/>
    <mergeCell ref="Q6:R6"/>
    <mergeCell ref="A6:A7"/>
    <mergeCell ref="B6:B7"/>
    <mergeCell ref="E6:E7"/>
    <mergeCell ref="G6:G7"/>
    <mergeCell ref="F6:F7"/>
  </mergeCells>
  <dataValidations count="4">
    <dataValidation type="list" allowBlank="1" showInputMessage="1" showErrorMessage="1" sqref="B38">
      <formula1>$AE$2:$AE$4</formula1>
    </dataValidation>
    <dataValidation type="list" allowBlank="1" showInputMessage="1" showErrorMessage="1" sqref="C8:C38">
      <formula1>$AF$2:$AF$7</formula1>
    </dataValidation>
    <dataValidation type="list" allowBlank="1" showInputMessage="1" showErrorMessage="1" sqref="D8:D38">
      <formula1>"X"</formula1>
    </dataValidation>
    <dataValidation type="list" allowBlank="1" showInputMessage="1" showErrorMessage="1" sqref="G8:G38">
      <formula1>#REF!</formula1>
    </dataValidation>
  </dataValidations>
  <pageMargins left="0.23622047244094491" right="0.23622047244094491" top="0.27" bottom="0.17" header="0.31496062992125984" footer="0.31496062992125984"/>
  <pageSetup paperSize="9" scale="25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Resumo!$B$1:$B$18</xm:f>
          </x14:formula1>
          <xm:sqref>H8:H38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>
    <tabColor rgb="FF777777"/>
    <pageSetUpPr fitToPage="1"/>
  </sheetPr>
  <dimension ref="A1:AC62"/>
  <sheetViews>
    <sheetView showGridLines="0" topLeftCell="A34" zoomScale="60" zoomScaleNormal="60" zoomScaleSheetLayoutView="80" workbookViewId="0">
      <selection activeCell="R8" sqref="R8"/>
    </sheetView>
  </sheetViews>
  <sheetFormatPr defaultRowHeight="15" x14ac:dyDescent="0.25"/>
  <cols>
    <col min="1" max="1" width="52.85546875" customWidth="1"/>
    <col min="2" max="2" width="26" bestFit="1" customWidth="1"/>
    <col min="3" max="3" width="33.42578125" style="74" customWidth="1"/>
    <col min="4" max="4" width="20.7109375" customWidth="1"/>
    <col min="5" max="5" width="26" style="74" customWidth="1"/>
    <col min="6" max="6" width="34.85546875" style="74" customWidth="1"/>
    <col min="7" max="7" width="17.28515625" customWidth="1"/>
    <col min="8" max="9" width="17.42578125" customWidth="1"/>
    <col min="10" max="10" width="16.28515625" hidden="1" customWidth="1"/>
    <col min="11" max="11" width="14.7109375" hidden="1" customWidth="1"/>
    <col min="12" max="12" width="19.7109375" hidden="1" customWidth="1"/>
    <col min="13" max="13" width="20.42578125" hidden="1" customWidth="1"/>
    <col min="14" max="14" width="6.140625" style="74" bestFit="1" customWidth="1"/>
    <col min="15" max="15" width="16.85546875" customWidth="1"/>
    <col min="16" max="16" width="33.5703125" customWidth="1"/>
  </cols>
  <sheetData>
    <row r="1" spans="1:29" hidden="1" x14ac:dyDescent="0.25"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9" hidden="1" x14ac:dyDescent="0.25"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9" ht="30.75" hidden="1" customHeight="1" x14ac:dyDescent="0.25"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9" ht="79.5" customHeight="1" x14ac:dyDescent="0.25">
      <c r="A4" s="480" t="s">
        <v>339</v>
      </c>
      <c r="B4" s="480"/>
      <c r="C4" s="480"/>
      <c r="D4" s="480"/>
      <c r="E4" s="480"/>
      <c r="F4" s="480"/>
      <c r="G4" s="480"/>
      <c r="H4" s="480"/>
      <c r="I4" s="480"/>
      <c r="O4" s="236"/>
      <c r="P4" s="236"/>
      <c r="Q4" s="227"/>
      <c r="R4" s="227"/>
      <c r="S4" s="227"/>
      <c r="T4" s="227"/>
      <c r="U4" s="227"/>
      <c r="V4" s="227"/>
      <c r="W4" s="227"/>
      <c r="X4" s="227"/>
      <c r="Y4" s="227"/>
    </row>
    <row r="5" spans="1:29" ht="18.75" customHeight="1" x14ac:dyDescent="0.25">
      <c r="A5" s="485" t="s">
        <v>61</v>
      </c>
      <c r="B5" s="486"/>
      <c r="C5" s="486"/>
      <c r="D5" s="486"/>
      <c r="E5" s="486"/>
      <c r="F5" s="486"/>
      <c r="G5" s="486"/>
      <c r="H5" s="486"/>
      <c r="I5" s="486"/>
      <c r="O5" s="236"/>
      <c r="P5" s="236"/>
      <c r="Q5" s="227"/>
      <c r="R5" s="227"/>
      <c r="S5" s="227"/>
      <c r="T5" s="227"/>
      <c r="U5" s="227"/>
      <c r="V5" s="227"/>
      <c r="W5" s="227"/>
      <c r="X5" s="227"/>
      <c r="Y5" s="227"/>
    </row>
    <row r="6" spans="1:29" s="1" customFormat="1" ht="53.25" customHeight="1" x14ac:dyDescent="0.25">
      <c r="A6" s="487" t="s">
        <v>336</v>
      </c>
      <c r="B6" s="488"/>
      <c r="C6" s="488"/>
      <c r="D6" s="488"/>
      <c r="E6" s="488"/>
      <c r="F6" s="488"/>
      <c r="G6" s="488"/>
      <c r="H6" s="488"/>
      <c r="I6" s="488"/>
      <c r="J6" s="3"/>
      <c r="K6" s="3"/>
      <c r="L6" s="3"/>
      <c r="M6" s="3"/>
      <c r="N6" s="3"/>
      <c r="O6" s="236"/>
      <c r="P6" s="236"/>
      <c r="Q6" s="227"/>
      <c r="R6" s="227"/>
      <c r="S6" s="227"/>
      <c r="T6" s="227"/>
      <c r="U6" s="227"/>
      <c r="V6" s="227"/>
      <c r="W6" s="227"/>
      <c r="X6" s="227"/>
      <c r="Y6" s="227"/>
    </row>
    <row r="7" spans="1:29" s="1" customFormat="1" ht="44.25" customHeight="1" x14ac:dyDescent="0.25">
      <c r="A7" s="493"/>
      <c r="B7" s="493"/>
      <c r="C7" s="493"/>
      <c r="D7" s="493"/>
      <c r="E7" s="493"/>
      <c r="F7" s="493"/>
      <c r="G7" s="18" t="s">
        <v>23</v>
      </c>
      <c r="H7" s="17"/>
      <c r="I7" s="3"/>
      <c r="J7" s="3"/>
      <c r="K7" s="3"/>
      <c r="L7" s="3"/>
      <c r="M7" s="3"/>
      <c r="N7" s="3"/>
      <c r="O7" s="236"/>
      <c r="P7" s="236"/>
      <c r="Q7" s="227"/>
      <c r="R7" s="227"/>
      <c r="S7" s="227"/>
      <c r="T7" s="227"/>
      <c r="U7" s="227"/>
      <c r="V7" s="227"/>
      <c r="W7" s="227"/>
      <c r="X7" s="227"/>
      <c r="Y7" s="227"/>
    </row>
    <row r="8" spans="1:29" ht="44.25" customHeight="1" x14ac:dyDescent="0.25">
      <c r="A8" s="489" t="s">
        <v>7</v>
      </c>
      <c r="B8" s="490"/>
      <c r="C8" s="494" t="s">
        <v>337</v>
      </c>
      <c r="D8" s="481" t="s">
        <v>330</v>
      </c>
      <c r="E8" s="482"/>
      <c r="F8" s="483"/>
      <c r="G8" s="496" t="s">
        <v>24</v>
      </c>
      <c r="H8" s="497"/>
      <c r="I8" s="484" t="s">
        <v>192</v>
      </c>
      <c r="K8" s="8"/>
      <c r="L8" s="8"/>
      <c r="M8" s="8"/>
      <c r="N8" s="235"/>
      <c r="O8" s="236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4"/>
      <c r="AA8" s="4"/>
      <c r="AB8" s="4"/>
      <c r="AC8" s="4"/>
    </row>
    <row r="9" spans="1:29" ht="67.5" customHeight="1" x14ac:dyDescent="0.25">
      <c r="A9" s="491"/>
      <c r="B9" s="492"/>
      <c r="C9" s="495"/>
      <c r="D9" s="130" t="s">
        <v>341</v>
      </c>
      <c r="E9" s="130" t="s">
        <v>340</v>
      </c>
      <c r="F9" s="131" t="s">
        <v>338</v>
      </c>
      <c r="G9" s="132" t="s">
        <v>193</v>
      </c>
      <c r="H9" s="132" t="s">
        <v>194</v>
      </c>
      <c r="I9" s="484"/>
      <c r="J9" s="209"/>
      <c r="K9" s="4"/>
      <c r="L9" s="4"/>
      <c r="M9" s="4"/>
      <c r="N9" s="4"/>
      <c r="O9" s="236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4"/>
      <c r="AA9" s="4"/>
      <c r="AB9" s="4"/>
      <c r="AC9" s="4"/>
    </row>
    <row r="10" spans="1:29" ht="24.95" customHeight="1" x14ac:dyDescent="0.25">
      <c r="A10" s="499" t="s">
        <v>8</v>
      </c>
      <c r="B10" s="499"/>
      <c r="C10" s="134"/>
      <c r="D10" s="134"/>
      <c r="E10" s="134"/>
      <c r="F10" s="135"/>
      <c r="G10" s="135"/>
      <c r="H10" s="498"/>
      <c r="I10" s="498"/>
      <c r="K10" s="4"/>
      <c r="L10" s="4"/>
      <c r="M10" s="4" t="s">
        <v>510</v>
      </c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4"/>
      <c r="AA10" s="4"/>
      <c r="AB10" s="4"/>
      <c r="AC10" s="4"/>
    </row>
    <row r="11" spans="1:29" ht="29.25" customHeight="1" x14ac:dyDescent="0.25">
      <c r="A11" s="479" t="s">
        <v>9</v>
      </c>
      <c r="B11" s="479"/>
      <c r="C11" s="22">
        <f>C12+C22+C23+C24</f>
        <v>3309248.67</v>
      </c>
      <c r="D11" s="22">
        <f>D12+D22+D23+D24</f>
        <v>2168361.81</v>
      </c>
      <c r="E11" s="22">
        <f>E12+E22+E23+E24</f>
        <v>1293331.8700000001</v>
      </c>
      <c r="F11" s="22">
        <f>F12+F22+F23+F24</f>
        <v>3461693.68</v>
      </c>
      <c r="G11" s="22">
        <f>F11-C11</f>
        <v>152445.01000000024</v>
      </c>
      <c r="H11" s="23">
        <f>IFERROR(G11/C11*100,)</f>
        <v>4.6066350764749346</v>
      </c>
      <c r="I11" s="23">
        <f>IFERROR(F11/$F$28*100,0)</f>
        <v>54.93770083980246</v>
      </c>
      <c r="J11" t="b">
        <f>C11=[2]FORM.1!$D$7</f>
        <v>1</v>
      </c>
      <c r="K11" s="4">
        <v>3425303.4008376002</v>
      </c>
      <c r="L11" s="205" t="b">
        <f>F11=K11</f>
        <v>0</v>
      </c>
      <c r="M11" s="205">
        <f>F11-K11</f>
        <v>36390.279162399936</v>
      </c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4"/>
      <c r="AA11" s="4"/>
      <c r="AB11" s="4"/>
      <c r="AC11" s="4"/>
    </row>
    <row r="12" spans="1:29" ht="29.25" customHeight="1" x14ac:dyDescent="0.25">
      <c r="A12" s="477" t="s">
        <v>94</v>
      </c>
      <c r="B12" s="477"/>
      <c r="C12" s="22">
        <f>C13+C20+C21</f>
        <v>3268905.76</v>
      </c>
      <c r="D12" s="22">
        <f>D13+D20+D21</f>
        <v>2135038.1300000004</v>
      </c>
      <c r="E12" s="22">
        <f>E13+E20+E21</f>
        <v>1278039.9100000001</v>
      </c>
      <c r="F12" s="133">
        <f>F13+F20+F21</f>
        <v>3413078.04</v>
      </c>
      <c r="G12" s="22">
        <f t="shared" ref="G12:G13" si="0">F12-C12</f>
        <v>144172.28000000026</v>
      </c>
      <c r="H12" s="23">
        <f t="shared" ref="H12:H37" si="1">IFERROR(G12/C12*100,)</f>
        <v>4.4104140830294316</v>
      </c>
      <c r="I12" s="23">
        <f t="shared" ref="I12:I28" si="2">IFERROR(F12/$F$28*100,0)</f>
        <v>54.166161895762919</v>
      </c>
      <c r="J12" t="b">
        <f>C12=[2]FORM.1!$D$8</f>
        <v>1</v>
      </c>
      <c r="K12" s="297">
        <v>3413078.0300000003</v>
      </c>
      <c r="L12" s="297" t="b">
        <f>F12=K12</f>
        <v>0</v>
      </c>
      <c r="M12" s="298">
        <f>F12-K12</f>
        <v>9.9999997764825821E-3</v>
      </c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4"/>
      <c r="AA12" s="4"/>
      <c r="AB12" s="4"/>
      <c r="AC12" s="4"/>
    </row>
    <row r="13" spans="1:29" ht="29.25" customHeight="1" x14ac:dyDescent="0.25">
      <c r="A13" s="477" t="s">
        <v>10</v>
      </c>
      <c r="B13" s="477"/>
      <c r="C13" s="22">
        <f>C14+C17</f>
        <v>1758459.48</v>
      </c>
      <c r="D13" s="22">
        <f>D14+D17</f>
        <v>1316822.05</v>
      </c>
      <c r="E13" s="22">
        <f>E14+E17</f>
        <v>548064.44999999995</v>
      </c>
      <c r="F13" s="133">
        <f>F14+F17</f>
        <v>1864886.5000000002</v>
      </c>
      <c r="G13" s="22">
        <f t="shared" si="0"/>
        <v>106427.02000000025</v>
      </c>
      <c r="H13" s="23">
        <f t="shared" si="1"/>
        <v>6.0522873123013472</v>
      </c>
      <c r="I13" s="23">
        <f t="shared" si="2"/>
        <v>29.596083913810155</v>
      </c>
      <c r="J13" t="b">
        <f>C13=[2]FORM.1!$D$9</f>
        <v>1</v>
      </c>
      <c r="K13" s="299">
        <v>1864886.5000000002</v>
      </c>
      <c r="L13" s="297" t="b">
        <f>F13=K13</f>
        <v>1</v>
      </c>
      <c r="M13" s="300">
        <f>F13-K13</f>
        <v>0</v>
      </c>
      <c r="N13" s="247"/>
      <c r="O13" s="236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4"/>
      <c r="AA13" s="4"/>
      <c r="AB13" s="4"/>
      <c r="AC13" s="4"/>
    </row>
    <row r="14" spans="1:29" ht="29.25" customHeight="1" x14ac:dyDescent="0.25">
      <c r="A14" s="477" t="s">
        <v>11</v>
      </c>
      <c r="B14" s="477"/>
      <c r="C14" s="133">
        <f>SUM(C15:C16)</f>
        <v>1516855.04</v>
      </c>
      <c r="D14" s="133">
        <f>SUM(D15:D16)</f>
        <v>1253330.02</v>
      </c>
      <c r="E14" s="133">
        <f>SUM(E15:E16)</f>
        <v>350530.64</v>
      </c>
      <c r="F14" s="133">
        <f>SUM(F15:F16)</f>
        <v>1603860.6600000001</v>
      </c>
      <c r="G14" s="22">
        <f>F14-C14</f>
        <v>87005.620000000112</v>
      </c>
      <c r="H14" s="23">
        <f t="shared" si="1"/>
        <v>5.7359218716114171</v>
      </c>
      <c r="I14" s="23">
        <f t="shared" si="2"/>
        <v>25.45355692124906</v>
      </c>
      <c r="J14" s="212" t="b">
        <f>C14=[2]FORM.1!$D$10</f>
        <v>1</v>
      </c>
      <c r="K14" s="212">
        <v>1603860.6600000001</v>
      </c>
      <c r="L14" s="297" t="b">
        <f>K14=F14</f>
        <v>1</v>
      </c>
      <c r="M14" s="300">
        <f>F14-K14</f>
        <v>0</v>
      </c>
      <c r="N14" s="247"/>
      <c r="O14" s="236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4"/>
      <c r="AA14" s="4"/>
      <c r="AB14" s="4"/>
      <c r="AC14" s="4"/>
    </row>
    <row r="15" spans="1:29" ht="29.25" customHeight="1" x14ac:dyDescent="0.25">
      <c r="A15" s="476" t="s">
        <v>342</v>
      </c>
      <c r="B15" s="476"/>
      <c r="C15" s="199">
        <v>1286565.26</v>
      </c>
      <c r="D15" s="24">
        <v>1016354.34</v>
      </c>
      <c r="E15" s="24">
        <f>1309133.68-D15-171.42</f>
        <v>292607.92</v>
      </c>
      <c r="F15" s="24">
        <f>SUM(D15:E15)</f>
        <v>1308962.26</v>
      </c>
      <c r="G15" s="22">
        <f>F15-C15</f>
        <v>22397</v>
      </c>
      <c r="H15" s="23">
        <f t="shared" si="1"/>
        <v>1.7408366832476108</v>
      </c>
      <c r="I15" s="23">
        <f t="shared" si="2"/>
        <v>20.773466313885901</v>
      </c>
      <c r="J15" s="32" t="b">
        <f>C15=[2]FORM.1!$D$11</f>
        <v>1</v>
      </c>
      <c r="K15" s="32">
        <v>1308962.26</v>
      </c>
      <c r="L15" s="297" t="b">
        <f>K15=F15</f>
        <v>1</v>
      </c>
      <c r="M15" s="301">
        <f>F15-K15</f>
        <v>0</v>
      </c>
      <c r="N15" s="248"/>
      <c r="O15" s="236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4"/>
      <c r="AA15" s="4"/>
      <c r="AB15" s="4"/>
      <c r="AC15" s="4"/>
    </row>
    <row r="16" spans="1:29" ht="29.25" customHeight="1" x14ac:dyDescent="0.25">
      <c r="A16" s="476" t="s">
        <v>90</v>
      </c>
      <c r="B16" s="476"/>
      <c r="C16" s="199">
        <v>230289.78</v>
      </c>
      <c r="D16" s="24">
        <v>236975.68</v>
      </c>
      <c r="E16" s="24">
        <f>294898.4-D16</f>
        <v>57922.72000000003</v>
      </c>
      <c r="F16" s="24">
        <f>SUM(D16:E16)</f>
        <v>294898.40000000002</v>
      </c>
      <c r="G16" s="22">
        <f t="shared" ref="G16:G37" si="3">F16-C16</f>
        <v>64608.620000000024</v>
      </c>
      <c r="H16" s="23">
        <f t="shared" si="1"/>
        <v>28.055357037555041</v>
      </c>
      <c r="I16" s="23">
        <f t="shared" si="2"/>
        <v>4.680090607363157</v>
      </c>
      <c r="J16" s="32" t="b">
        <f>C16=[2]FORM.1!$D$12</f>
        <v>1</v>
      </c>
      <c r="K16" s="203">
        <v>294898.40000000002</v>
      </c>
      <c r="L16" s="205" t="b">
        <f t="shared" ref="L16:L20" si="4">K16=F16</f>
        <v>1</v>
      </c>
      <c r="M16" s="31"/>
      <c r="N16" s="235"/>
      <c r="O16" s="236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4"/>
      <c r="AA16" s="4"/>
      <c r="AB16" s="4"/>
      <c r="AC16" s="4"/>
    </row>
    <row r="17" spans="1:16" ht="29.25" customHeight="1" x14ac:dyDescent="0.25">
      <c r="A17" s="477" t="s">
        <v>12</v>
      </c>
      <c r="B17" s="477"/>
      <c r="C17" s="71">
        <f>SUM(C18:C19)</f>
        <v>241604.44</v>
      </c>
      <c r="D17" s="71">
        <f>SUM(D18:D19)</f>
        <v>63492.03</v>
      </c>
      <c r="E17" s="71">
        <f>SUM(E18:E19)</f>
        <v>197533.81</v>
      </c>
      <c r="F17" s="71">
        <f>SUM(F18:F19)</f>
        <v>261025.84</v>
      </c>
      <c r="G17" s="22">
        <f t="shared" si="3"/>
        <v>19421.399999999994</v>
      </c>
      <c r="H17" s="23">
        <f t="shared" si="1"/>
        <v>8.038511212790624</v>
      </c>
      <c r="I17" s="23">
        <f t="shared" si="2"/>
        <v>4.142526992561093</v>
      </c>
      <c r="J17" s="212" t="b">
        <f>C17=[2]FORM.1!$D$13</f>
        <v>1</v>
      </c>
      <c r="K17" s="212">
        <v>261025.84</v>
      </c>
      <c r="L17" s="205" t="b">
        <f t="shared" si="4"/>
        <v>1</v>
      </c>
    </row>
    <row r="18" spans="1:16" ht="29.25" customHeight="1" x14ac:dyDescent="0.25">
      <c r="A18" s="476" t="s">
        <v>343</v>
      </c>
      <c r="B18" s="476"/>
      <c r="C18" s="200">
        <v>177466.94</v>
      </c>
      <c r="D18" s="25">
        <v>41762.78</v>
      </c>
      <c r="E18" s="25">
        <f>180090.81-D18</f>
        <v>138328.03</v>
      </c>
      <c r="F18" s="24">
        <f>SUM(D18:E18)</f>
        <v>180090.81</v>
      </c>
      <c r="G18" s="22">
        <f t="shared" si="3"/>
        <v>2623.8699999999953</v>
      </c>
      <c r="H18" s="23">
        <f t="shared" si="1"/>
        <v>1.4785119977839225</v>
      </c>
      <c r="I18" s="23">
        <f t="shared" si="2"/>
        <v>2.8580735207563785</v>
      </c>
      <c r="J18" s="212" t="b">
        <f>C18=[2]FORM.1!$D$14</f>
        <v>1</v>
      </c>
      <c r="K18" s="32">
        <v>180090.81</v>
      </c>
      <c r="L18" s="205" t="b">
        <f t="shared" si="4"/>
        <v>1</v>
      </c>
    </row>
    <row r="19" spans="1:16" ht="29.25" customHeight="1" x14ac:dyDescent="0.25">
      <c r="A19" s="476" t="s">
        <v>91</v>
      </c>
      <c r="B19" s="476"/>
      <c r="C19" s="200">
        <v>64137.5</v>
      </c>
      <c r="D19" s="25">
        <v>21729.25</v>
      </c>
      <c r="E19" s="25">
        <f>80935.03-D19</f>
        <v>59205.78</v>
      </c>
      <c r="F19" s="24">
        <f t="shared" ref="F19:F27" si="5">SUM(D19:E19)</f>
        <v>80935.03</v>
      </c>
      <c r="G19" s="22">
        <f t="shared" si="3"/>
        <v>16797.53</v>
      </c>
      <c r="H19" s="23">
        <f t="shared" si="1"/>
        <v>26.189873319041119</v>
      </c>
      <c r="I19" s="23">
        <f t="shared" si="2"/>
        <v>1.2844534718047143</v>
      </c>
      <c r="J19" s="212" t="b">
        <f>C19=[2]FORM.1!$D$15</f>
        <v>1</v>
      </c>
      <c r="K19" s="32">
        <v>80935.03</v>
      </c>
      <c r="L19" s="205" t="b">
        <f t="shared" si="4"/>
        <v>1</v>
      </c>
    </row>
    <row r="20" spans="1:16" ht="29.25" customHeight="1" x14ac:dyDescent="0.25">
      <c r="A20" s="478" t="s">
        <v>78</v>
      </c>
      <c r="B20" s="478"/>
      <c r="C20" s="201">
        <v>1369680</v>
      </c>
      <c r="D20" s="27">
        <v>739838.4</v>
      </c>
      <c r="E20" s="27">
        <f>1401938.76-D20</f>
        <v>662100.36</v>
      </c>
      <c r="F20" s="24">
        <f>SUM(D20:E20)</f>
        <v>1401938.76</v>
      </c>
      <c r="G20" s="22">
        <f t="shared" si="3"/>
        <v>32258.760000000009</v>
      </c>
      <c r="H20" s="23">
        <f t="shared" si="1"/>
        <v>2.3552041352724729</v>
      </c>
      <c r="I20" s="23">
        <f t="shared" si="2"/>
        <v>22.249020078692698</v>
      </c>
      <c r="J20" s="212" t="b">
        <f>C20=[2]FORM.1!$D$16</f>
        <v>1</v>
      </c>
      <c r="K20">
        <v>1401938.76</v>
      </c>
      <c r="L20" s="205" t="b">
        <f t="shared" si="4"/>
        <v>1</v>
      </c>
      <c r="P20" s="260">
        <f>K15-F15</f>
        <v>0</v>
      </c>
    </row>
    <row r="21" spans="1:16" ht="29.25" customHeight="1" x14ac:dyDescent="0.25">
      <c r="A21" s="478" t="s">
        <v>62</v>
      </c>
      <c r="B21" s="478"/>
      <c r="C21" s="201">
        <v>140766.28</v>
      </c>
      <c r="D21" s="27">
        <f>44401.12+20949.23+10280.64+2746.69</f>
        <v>78377.680000000008</v>
      </c>
      <c r="E21" s="27">
        <f>146261.4-D21-8.62</f>
        <v>67875.099999999991</v>
      </c>
      <c r="F21" s="302">
        <f>SUM(D21:E21)</f>
        <v>146252.78</v>
      </c>
      <c r="G21" s="22">
        <f t="shared" si="3"/>
        <v>5486.5</v>
      </c>
      <c r="H21" s="23">
        <f t="shared" si="1"/>
        <v>3.8975953616164327</v>
      </c>
      <c r="I21" s="23">
        <f t="shared" si="2"/>
        <v>2.3210579032600722</v>
      </c>
      <c r="J21" s="212" t="b">
        <f>C21=[2]FORM.1!$D$17</f>
        <v>1</v>
      </c>
      <c r="K21" s="214">
        <v>146252.77000000002</v>
      </c>
      <c r="L21" s="205" t="b">
        <f>K21=F21</f>
        <v>0</v>
      </c>
      <c r="M21" s="249">
        <f>F21-K21</f>
        <v>9.9999999802093953E-3</v>
      </c>
      <c r="N21" s="249"/>
      <c r="P21" s="260"/>
    </row>
    <row r="22" spans="1:16" ht="29.25" customHeight="1" x14ac:dyDescent="0.25">
      <c r="A22" s="478" t="s">
        <v>13</v>
      </c>
      <c r="B22" s="478"/>
      <c r="C22" s="201">
        <v>30000</v>
      </c>
      <c r="D22" s="27">
        <v>18596.59</v>
      </c>
      <c r="E22" s="210">
        <f>C22-D22</f>
        <v>11403.41</v>
      </c>
      <c r="F22" s="24">
        <f t="shared" si="5"/>
        <v>30000</v>
      </c>
      <c r="G22" s="22">
        <f t="shared" si="3"/>
        <v>0</v>
      </c>
      <c r="H22" s="23">
        <f t="shared" si="1"/>
        <v>0</v>
      </c>
      <c r="I22" s="23">
        <f t="shared" si="2"/>
        <v>0.47610539162265608</v>
      </c>
      <c r="J22" s="212" t="b">
        <f>C22=[2]FORM.1!$D$18</f>
        <v>1</v>
      </c>
    </row>
    <row r="23" spans="1:16" ht="29.25" customHeight="1" x14ac:dyDescent="0.25">
      <c r="A23" s="478" t="s">
        <v>181</v>
      </c>
      <c r="B23" s="478"/>
      <c r="C23" s="202">
        <v>10342.91</v>
      </c>
      <c r="D23" s="211">
        <f>8336.82+6390.27</f>
        <v>14727.09</v>
      </c>
      <c r="E23" s="211">
        <v>3888.55</v>
      </c>
      <c r="F23" s="24">
        <f t="shared" si="5"/>
        <v>18615.64</v>
      </c>
      <c r="G23" s="22">
        <f t="shared" si="3"/>
        <v>8272.73</v>
      </c>
      <c r="H23" s="23">
        <f t="shared" si="1"/>
        <v>79.984549802715094</v>
      </c>
      <c r="I23" s="23">
        <f t="shared" si="2"/>
        <v>0.29543355241687941</v>
      </c>
      <c r="J23" s="212" t="b">
        <f>C23=[2]FORM.1!$D$19</f>
        <v>1</v>
      </c>
      <c r="K23" s="296">
        <f>12225.3708376 +2016.2</f>
        <v>14241.5708376</v>
      </c>
      <c r="M23" s="74" t="s">
        <v>509</v>
      </c>
    </row>
    <row r="24" spans="1:16" ht="29.25" customHeight="1" x14ac:dyDescent="0.25">
      <c r="A24" s="478" t="s">
        <v>14</v>
      </c>
      <c r="B24" s="478"/>
      <c r="C24" s="28"/>
      <c r="D24" s="28"/>
      <c r="E24" s="28"/>
      <c r="F24" s="24">
        <f t="shared" si="5"/>
        <v>0</v>
      </c>
      <c r="G24" s="22">
        <f t="shared" si="3"/>
        <v>0</v>
      </c>
      <c r="H24" s="23">
        <f t="shared" si="1"/>
        <v>0</v>
      </c>
      <c r="I24" s="23">
        <f t="shared" si="2"/>
        <v>0</v>
      </c>
      <c r="J24" s="212" t="b">
        <f>C24=[2]FORM.1!$D$20</f>
        <v>1</v>
      </c>
      <c r="K24">
        <v>0</v>
      </c>
      <c r="L24" t="b">
        <f>K24=F24</f>
        <v>1</v>
      </c>
    </row>
    <row r="25" spans="1:16" ht="29.25" customHeight="1" x14ac:dyDescent="0.25">
      <c r="A25" s="479" t="s">
        <v>15</v>
      </c>
      <c r="B25" s="479"/>
      <c r="C25" s="22">
        <f>SUM(C26:C27)</f>
        <v>560000</v>
      </c>
      <c r="D25" s="22">
        <f>SUM(D26:D27)</f>
        <v>0</v>
      </c>
      <c r="E25" s="22">
        <f>SUM(E26:E27)</f>
        <v>2839432.19</v>
      </c>
      <c r="F25" s="22">
        <f>SUM(F26:F27)</f>
        <v>2839432.19</v>
      </c>
      <c r="G25" s="22">
        <f t="shared" si="3"/>
        <v>2279432.19</v>
      </c>
      <c r="H25" s="23">
        <f t="shared" si="1"/>
        <v>407.04146249999997</v>
      </c>
      <c r="I25" s="23">
        <f t="shared" si="2"/>
        <v>45.06229916019754</v>
      </c>
      <c r="J25" s="212" t="b">
        <f>C25=[2]FORM.1!$D$21</f>
        <v>1</v>
      </c>
    </row>
    <row r="26" spans="1:16" ht="39.75" customHeight="1" x14ac:dyDescent="0.25">
      <c r="A26" s="478" t="s">
        <v>16</v>
      </c>
      <c r="B26" s="478"/>
      <c r="C26" s="28">
        <v>560000</v>
      </c>
      <c r="D26" s="28">
        <v>0</v>
      </c>
      <c r="E26" s="28">
        <v>2839432.19</v>
      </c>
      <c r="F26" s="24">
        <f t="shared" si="5"/>
        <v>2839432.19</v>
      </c>
      <c r="G26" s="22">
        <f t="shared" si="3"/>
        <v>2279432.19</v>
      </c>
      <c r="H26" s="23">
        <f t="shared" si="1"/>
        <v>407.04146249999997</v>
      </c>
      <c r="I26" s="23">
        <f t="shared" si="2"/>
        <v>45.06229916019754</v>
      </c>
      <c r="J26" s="212" t="b">
        <f>C26=[2]FORM.1!$D$22</f>
        <v>1</v>
      </c>
      <c r="K26">
        <f>'Anexo 3. Elemento de Despesas'!P38</f>
        <v>2839432.19</v>
      </c>
      <c r="L26" t="b">
        <f>K26=F26</f>
        <v>1</v>
      </c>
    </row>
    <row r="27" spans="1:16" ht="29.25" customHeight="1" x14ac:dyDescent="0.25">
      <c r="A27" s="478" t="s">
        <v>180</v>
      </c>
      <c r="B27" s="478"/>
      <c r="C27" s="28"/>
      <c r="D27" s="28"/>
      <c r="E27" s="28"/>
      <c r="F27" s="24">
        <f t="shared" si="5"/>
        <v>0</v>
      </c>
      <c r="G27" s="22">
        <f t="shared" si="3"/>
        <v>0</v>
      </c>
      <c r="H27" s="23">
        <f t="shared" si="1"/>
        <v>0</v>
      </c>
      <c r="I27" s="23">
        <f t="shared" si="2"/>
        <v>0</v>
      </c>
      <c r="J27" s="212" t="b">
        <f>C27=[2]FORM.1!$D$23</f>
        <v>1</v>
      </c>
    </row>
    <row r="28" spans="1:16" ht="24.95" customHeight="1" x14ac:dyDescent="0.25">
      <c r="A28" s="479" t="s">
        <v>17</v>
      </c>
      <c r="B28" s="479"/>
      <c r="C28" s="22">
        <f>SUM(C11,C25)</f>
        <v>3869248.67</v>
      </c>
      <c r="D28" s="22">
        <f>SUM(D11,D25)</f>
        <v>2168361.81</v>
      </c>
      <c r="E28" s="22">
        <f>SUM(E11,E25)</f>
        <v>4132764.06</v>
      </c>
      <c r="F28" s="270">
        <f>SUM(F11,F25)</f>
        <v>6301125.8700000001</v>
      </c>
      <c r="G28" s="22">
        <f t="shared" si="3"/>
        <v>2431877.2000000002</v>
      </c>
      <c r="H28" s="23">
        <f t="shared" si="1"/>
        <v>62.851406239547799</v>
      </c>
      <c r="I28" s="23">
        <f t="shared" si="2"/>
        <v>100</v>
      </c>
      <c r="J28" s="212" t="b">
        <f>C28=[2]FORM.1!$D$24</f>
        <v>1</v>
      </c>
      <c r="L28" s="209"/>
      <c r="M28" s="290"/>
    </row>
    <row r="29" spans="1:16" ht="24.95" customHeight="1" x14ac:dyDescent="0.25">
      <c r="A29" s="499" t="s">
        <v>344</v>
      </c>
      <c r="B29" s="499"/>
      <c r="C29" s="136"/>
      <c r="D29" s="136"/>
      <c r="E29" s="136"/>
      <c r="F29" s="137"/>
      <c r="G29" s="137">
        <f t="shared" si="3"/>
        <v>0</v>
      </c>
      <c r="H29" s="499"/>
      <c r="I29" s="499"/>
    </row>
    <row r="30" spans="1:16" ht="24.95" customHeight="1" x14ac:dyDescent="0.25">
      <c r="A30" s="477" t="s">
        <v>18</v>
      </c>
      <c r="B30" s="477"/>
      <c r="C30" s="82">
        <v>3554597.58</v>
      </c>
      <c r="D30" s="22">
        <f>SUM(D31:D33)</f>
        <v>718358.94000000018</v>
      </c>
      <c r="E30" s="22">
        <f>SUM(E31:E33)</f>
        <v>5212777.4800000004</v>
      </c>
      <c r="F30" s="82">
        <f>SUM(F31:F33)</f>
        <v>5931136.4199999999</v>
      </c>
      <c r="G30" s="22">
        <f>F30-C30</f>
        <v>2376538.84</v>
      </c>
      <c r="H30" s="23">
        <f>IFERROR(G30/C30*100,)</f>
        <v>66.858168513128845</v>
      </c>
      <c r="I30" s="23">
        <f t="shared" ref="I30:I37" si="6">IFERROR(F30/$F$37*100,0)</f>
        <v>94.128200933716627</v>
      </c>
      <c r="J30" s="6" t="b">
        <f>C30=[2]FORM.1!$D$26</f>
        <v>1</v>
      </c>
      <c r="K30" s="284"/>
    </row>
    <row r="31" spans="1:16" ht="24.95" customHeight="1" x14ac:dyDescent="0.25">
      <c r="A31" s="478" t="s">
        <v>19</v>
      </c>
      <c r="B31" s="478"/>
      <c r="C31" s="82">
        <f>SUMIF('Quadro Geral'!B8:B38,"p",'Quadro Geral'!J8:J38)</f>
        <v>738719.84</v>
      </c>
      <c r="D31" s="82">
        <f>SUMIF('Quadro Geral'!B8:B38,"p",'Quadro Geral'!K8:K38)</f>
        <v>0</v>
      </c>
      <c r="E31" s="82">
        <f>SUMIF('Quadro Geral'!B8:B38,"p",'Quadro Geral'!L8:L38)</f>
        <v>2969963.3400000003</v>
      </c>
      <c r="F31" s="27">
        <f>D31+E31</f>
        <v>2969963.3400000003</v>
      </c>
      <c r="G31" s="22">
        <f t="shared" si="3"/>
        <v>2231243.5000000005</v>
      </c>
      <c r="H31" s="23">
        <f t="shared" si="1"/>
        <v>302.04190806625695</v>
      </c>
      <c r="I31" s="23">
        <f t="shared" si="6"/>
        <v>47.133851969854405</v>
      </c>
      <c r="J31" s="6" t="b">
        <f>C31=[2]FORM.1!$D$27</f>
        <v>1</v>
      </c>
      <c r="K31" s="284"/>
      <c r="L31" s="209"/>
      <c r="N31" s="288">
        <f>F28-F37</f>
        <v>0</v>
      </c>
      <c r="O31" s="288">
        <f>F28-F37</f>
        <v>0</v>
      </c>
    </row>
    <row r="32" spans="1:16" s="74" customFormat="1" ht="24.95" customHeight="1" x14ac:dyDescent="0.25">
      <c r="A32" s="517" t="s">
        <v>202</v>
      </c>
      <c r="B32" s="518"/>
      <c r="C32" s="82">
        <f>SUMIF('Quadro Geral'!B8:B39,"pe",'Quadro Geral'!J8:J39)</f>
        <v>0</v>
      </c>
      <c r="D32" s="82">
        <f>SUMIF('Quadro Geral'!B8:B39,"pe",'Quadro Geral'!K8:K39)</f>
        <v>0</v>
      </c>
      <c r="E32" s="82">
        <f>SUMIF('Quadro Geral'!B8:B39,"pe",'Quadro Geral'!L8:L39)</f>
        <v>0</v>
      </c>
      <c r="F32" s="27">
        <f>D32+E32</f>
        <v>0</v>
      </c>
      <c r="G32" s="22">
        <f t="shared" si="3"/>
        <v>0</v>
      </c>
      <c r="H32" s="23">
        <f>IFERROR(G32/C32*100,)</f>
        <v>0</v>
      </c>
      <c r="I32" s="23">
        <f t="shared" si="6"/>
        <v>0</v>
      </c>
      <c r="J32" s="6" t="b">
        <f>C32=[2]FORM.1!$D$28</f>
        <v>1</v>
      </c>
      <c r="K32" s="284"/>
      <c r="M32" s="291"/>
    </row>
    <row r="33" spans="1:16" ht="24.95" customHeight="1" x14ac:dyDescent="0.25">
      <c r="A33" s="478" t="s">
        <v>68</v>
      </c>
      <c r="B33" s="478"/>
      <c r="C33" s="82">
        <v>2815877.74</v>
      </c>
      <c r="D33" s="82">
        <f>SUMIF('Quadro Geral'!B8:B40,"a",'Quadro Geral'!K8:K40)-D34-D35-D36</f>
        <v>718358.94000000018</v>
      </c>
      <c r="E33" s="82">
        <f>SUMIF('Quadro Geral'!B8:B40,"a",'Quadro Geral'!L8:L40)-E34-E35-E36</f>
        <v>2242814.1399999997</v>
      </c>
      <c r="F33" s="82">
        <f>D33+E33</f>
        <v>2961173.08</v>
      </c>
      <c r="G33" s="22">
        <f>F33-C33</f>
        <v>145295.33999999985</v>
      </c>
      <c r="H33" s="23">
        <f t="shared" si="1"/>
        <v>5.1598596748735206</v>
      </c>
      <c r="I33" s="23">
        <f>IFERROR(F33/$F$37*100,0)</f>
        <v>46.99434896386223</v>
      </c>
      <c r="J33" s="6" t="b">
        <f>C33=[2]FORM.1!$D$29</f>
        <v>1</v>
      </c>
      <c r="K33" s="287"/>
      <c r="L33" s="152"/>
      <c r="M33" s="152"/>
      <c r="N33" s="152"/>
      <c r="O33" s="152"/>
      <c r="P33" s="152"/>
    </row>
    <row r="34" spans="1:16" ht="24.95" customHeight="1" x14ac:dyDescent="0.25">
      <c r="A34" s="478" t="s">
        <v>20</v>
      </c>
      <c r="B34" s="478"/>
      <c r="C34" s="201">
        <v>84981.82</v>
      </c>
      <c r="D34" s="27">
        <v>35409.1</v>
      </c>
      <c r="E34" s="27">
        <f>72887.99-D34</f>
        <v>37478.890000000007</v>
      </c>
      <c r="F34" s="24">
        <f t="shared" ref="F34:F36" si="7">SUM(D34:E34)</f>
        <v>72887.990000000005</v>
      </c>
      <c r="G34" s="22">
        <f t="shared" si="3"/>
        <v>-12093.830000000002</v>
      </c>
      <c r="H34" s="23">
        <f>IFERROR(G34/C34*100,)</f>
        <v>-14.2310790707942</v>
      </c>
      <c r="I34" s="23">
        <f t="shared" si="6"/>
        <v>1.1567455007846081</v>
      </c>
      <c r="J34" s="6" t="b">
        <f>C34=[2]FORM.1!$D$30</f>
        <v>1</v>
      </c>
      <c r="K34">
        <v>72887.990000000005</v>
      </c>
      <c r="L34" t="b">
        <f>K34=F34</f>
        <v>1</v>
      </c>
      <c r="M34" t="b">
        <f>F34=K34</f>
        <v>1</v>
      </c>
      <c r="P34" s="209"/>
    </row>
    <row r="35" spans="1:16" ht="24.95" customHeight="1" x14ac:dyDescent="0.25">
      <c r="A35" s="478" t="s">
        <v>67</v>
      </c>
      <c r="B35" s="478"/>
      <c r="C35" s="201">
        <v>219669.27</v>
      </c>
      <c r="D35" s="27">
        <f>81643.8+9885.05</f>
        <v>91528.85</v>
      </c>
      <c r="E35" s="27">
        <f>259101.46-D35</f>
        <v>167572.60999999999</v>
      </c>
      <c r="F35" s="24">
        <f t="shared" si="7"/>
        <v>259101.46</v>
      </c>
      <c r="G35" s="22">
        <f t="shared" si="3"/>
        <v>39432.19</v>
      </c>
      <c r="H35" s="23">
        <f t="shared" si="1"/>
        <v>17.950708353517086</v>
      </c>
      <c r="I35" s="23">
        <f t="shared" si="6"/>
        <v>4.1119867361100662</v>
      </c>
      <c r="J35" s="6" t="b">
        <f>C35=[2]FORM.1!$D$31</f>
        <v>1</v>
      </c>
      <c r="K35">
        <v>259101.46</v>
      </c>
      <c r="L35" t="b">
        <f>K35=F35</f>
        <v>1</v>
      </c>
      <c r="M35" t="b">
        <f>F35=K35</f>
        <v>1</v>
      </c>
    </row>
    <row r="36" spans="1:16" ht="24.95" customHeight="1" x14ac:dyDescent="0.25">
      <c r="A36" s="478" t="s">
        <v>25</v>
      </c>
      <c r="B36" s="478"/>
      <c r="C36" s="201">
        <v>10000</v>
      </c>
      <c r="D36" s="27">
        <v>0</v>
      </c>
      <c r="E36" s="27">
        <v>38000</v>
      </c>
      <c r="F36" s="24">
        <f t="shared" si="7"/>
        <v>38000</v>
      </c>
      <c r="G36" s="22">
        <f t="shared" si="3"/>
        <v>28000</v>
      </c>
      <c r="H36" s="23">
        <f t="shared" si="1"/>
        <v>280</v>
      </c>
      <c r="I36" s="23">
        <f t="shared" si="6"/>
        <v>0.60306682938869771</v>
      </c>
      <c r="J36" s="6" t="b">
        <f>C36=[2]FORM.1!$D$32</f>
        <v>1</v>
      </c>
      <c r="K36">
        <f>'Quadro Geral'!M35</f>
        <v>38000</v>
      </c>
      <c r="L36" t="b">
        <f>K36=F36</f>
        <v>1</v>
      </c>
      <c r="P36" s="209"/>
    </row>
    <row r="37" spans="1:16" ht="24.75" customHeight="1" x14ac:dyDescent="0.25">
      <c r="A37" s="479" t="s">
        <v>21</v>
      </c>
      <c r="B37" s="479"/>
      <c r="C37" s="22">
        <f>SUM(C30,C34:C36)</f>
        <v>3869248.67</v>
      </c>
      <c r="D37" s="22">
        <f>SUM(D30,D34:D36)</f>
        <v>845296.89000000013</v>
      </c>
      <c r="E37" s="22">
        <f>SUM(E30,E34:E36)</f>
        <v>5455828.9800000004</v>
      </c>
      <c r="F37" s="270">
        <f>SUM(F30,F34:F36)</f>
        <v>6301125.8700000001</v>
      </c>
      <c r="G37" s="22">
        <f t="shared" si="3"/>
        <v>2431877.2000000002</v>
      </c>
      <c r="H37" s="23">
        <f t="shared" si="1"/>
        <v>62.851406239547799</v>
      </c>
      <c r="I37" s="23">
        <f t="shared" si="6"/>
        <v>100</v>
      </c>
      <c r="J37" t="b">
        <f>C37=[2]FORM.1!$D$33</f>
        <v>1</v>
      </c>
      <c r="L37" s="209"/>
      <c r="M37" s="289"/>
    </row>
    <row r="38" spans="1:16" ht="24.95" customHeight="1" x14ac:dyDescent="0.25">
      <c r="A38" s="478" t="s">
        <v>22</v>
      </c>
      <c r="B38" s="478"/>
      <c r="C38" s="29">
        <f>C28-C37</f>
        <v>0</v>
      </c>
      <c r="D38" s="29">
        <f>D28-D37</f>
        <v>1323064.92</v>
      </c>
      <c r="E38" s="29">
        <f>E28-E37</f>
        <v>-1323064.9200000004</v>
      </c>
      <c r="F38" s="29">
        <f>F28-F37</f>
        <v>0</v>
      </c>
      <c r="G38" s="29">
        <f>G28-G37</f>
        <v>0</v>
      </c>
      <c r="H38" s="30"/>
      <c r="I38" s="30"/>
      <c r="M38" s="288"/>
    </row>
    <row r="39" spans="1:16" ht="33" customHeight="1" x14ac:dyDescent="0.25">
      <c r="A39" s="514" t="s">
        <v>93</v>
      </c>
      <c r="B39" s="515"/>
      <c r="C39" s="515"/>
      <c r="D39" s="515"/>
      <c r="E39" s="515"/>
      <c r="F39" s="515"/>
      <c r="G39" s="515"/>
      <c r="H39" s="515"/>
      <c r="I39" s="516"/>
      <c r="K39" s="209">
        <f>E31+2406433.5</f>
        <v>5376396.8399999999</v>
      </c>
      <c r="M39" s="267"/>
    </row>
    <row r="40" spans="1:16" ht="42" customHeight="1" x14ac:dyDescent="0.25">
      <c r="A40" s="81"/>
      <c r="B40" s="81"/>
      <c r="C40" s="138" t="b">
        <f>C37='Quadro Geral'!J39</f>
        <v>1</v>
      </c>
      <c r="D40" s="138" t="b">
        <f>D37='Quadro Geral'!K39</f>
        <v>1</v>
      </c>
      <c r="E40" s="138" t="b">
        <f>E37='Quadro Geral'!L39</f>
        <v>1</v>
      </c>
      <c r="F40" s="138" t="b">
        <f>F37='Quadro Geral'!M39</f>
        <v>1</v>
      </c>
      <c r="G40" s="81"/>
      <c r="H40" s="79"/>
      <c r="I40" s="79"/>
    </row>
    <row r="41" spans="1:16" ht="31.5" customHeight="1" x14ac:dyDescent="0.25">
      <c r="A41" s="507" t="s">
        <v>345</v>
      </c>
      <c r="B41" s="508"/>
      <c r="C41" s="508"/>
      <c r="D41" s="508"/>
      <c r="E41" s="508"/>
      <c r="F41" s="508"/>
      <c r="G41" s="508"/>
      <c r="H41" s="4"/>
      <c r="I41" s="4"/>
    </row>
    <row r="42" spans="1:16" ht="24.75" customHeight="1" x14ac:dyDescent="0.25">
      <c r="A42" s="500" t="s">
        <v>81</v>
      </c>
      <c r="B42" s="504" t="s">
        <v>84</v>
      </c>
      <c r="C42" s="505"/>
      <c r="D42" s="506"/>
      <c r="E42" s="504" t="s">
        <v>85</v>
      </c>
      <c r="F42" s="505"/>
      <c r="G42" s="506"/>
    </row>
    <row r="43" spans="1:16" ht="72.75" customHeight="1" x14ac:dyDescent="0.25">
      <c r="A43" s="501"/>
      <c r="B43" s="141" t="s">
        <v>346</v>
      </c>
      <c r="C43" s="141" t="s">
        <v>347</v>
      </c>
      <c r="D43" s="141" t="s">
        <v>86</v>
      </c>
      <c r="E43" s="141" t="s">
        <v>348</v>
      </c>
      <c r="F43" s="141" t="s">
        <v>349</v>
      </c>
      <c r="G43" s="141" t="s">
        <v>213</v>
      </c>
    </row>
    <row r="44" spans="1:16" ht="33.75" customHeight="1" x14ac:dyDescent="0.25">
      <c r="A44" s="26" t="s">
        <v>82</v>
      </c>
      <c r="B44" s="41">
        <f>C11</f>
        <v>3309248.67</v>
      </c>
      <c r="C44" s="29">
        <f>F11</f>
        <v>3461693.68</v>
      </c>
      <c r="D44" s="292">
        <f>(IFERROR(C44/B44*100-100,0))</f>
        <v>4.6066350764749444</v>
      </c>
      <c r="E44" s="29">
        <v>3309248.67</v>
      </c>
      <c r="F44" s="29">
        <f>'Anexo 3. Elemento de Despesas'!O38</f>
        <v>3461693.6799999997</v>
      </c>
      <c r="G44" s="292">
        <f>(IFERROR(F44/E44*100-100,0))</f>
        <v>4.606635076474916</v>
      </c>
      <c r="J44" t="b">
        <f>B44=[2]FORM.1!$C$39</f>
        <v>1</v>
      </c>
    </row>
    <row r="45" spans="1:16" ht="33.75" customHeight="1" x14ac:dyDescent="0.25">
      <c r="A45" s="26" t="s">
        <v>83</v>
      </c>
      <c r="B45" s="41">
        <f>C25</f>
        <v>560000</v>
      </c>
      <c r="C45" s="29">
        <f>F25</f>
        <v>2839432.19</v>
      </c>
      <c r="D45" s="292">
        <f t="shared" ref="D45:D46" si="8">(IFERROR(C45/B45*100-100,0))</f>
        <v>407.04146249999997</v>
      </c>
      <c r="E45" s="29">
        <v>560000</v>
      </c>
      <c r="F45" s="29">
        <f>'Anexo 3. Elemento de Despesas'!P38</f>
        <v>2839432.19</v>
      </c>
      <c r="G45" s="292">
        <f t="shared" ref="G45:G46" si="9">(IFERROR(F45/E45*100-100,0))</f>
        <v>407.04146249999997</v>
      </c>
      <c r="J45" t="b">
        <f>B45=[2]FORM.1!$C$40</f>
        <v>1</v>
      </c>
    </row>
    <row r="46" spans="1:16" ht="27.75" customHeight="1" x14ac:dyDescent="0.25">
      <c r="A46" s="139" t="s">
        <v>0</v>
      </c>
      <c r="B46" s="140">
        <f>SUM(B44:B45)</f>
        <v>3869248.67</v>
      </c>
      <c r="C46" s="140">
        <f t="shared" ref="C46" si="10">SUM(C44:C45)</f>
        <v>6301125.8700000001</v>
      </c>
      <c r="D46" s="293">
        <f t="shared" si="8"/>
        <v>62.851406239547799</v>
      </c>
      <c r="E46" s="140">
        <f>SUM(E44:E45)</f>
        <v>3869248.67</v>
      </c>
      <c r="F46" s="140">
        <f t="shared" ref="F46" si="11">SUM(F44:F45)</f>
        <v>6301125.8699999992</v>
      </c>
      <c r="G46" s="293">
        <f t="shared" si="9"/>
        <v>62.851406239547771</v>
      </c>
    </row>
    <row r="47" spans="1:16" x14ac:dyDescent="0.25">
      <c r="A47" s="502"/>
      <c r="B47" s="503"/>
      <c r="C47" s="503"/>
      <c r="D47" s="503"/>
      <c r="E47" s="503"/>
      <c r="F47" s="503"/>
      <c r="G47" s="503"/>
      <c r="H47" s="503"/>
      <c r="I47" s="503"/>
    </row>
    <row r="48" spans="1:16" ht="33.75" customHeight="1" x14ac:dyDescent="0.25">
      <c r="A48" s="141" t="s">
        <v>7</v>
      </c>
      <c r="B48" s="141" t="s">
        <v>125</v>
      </c>
      <c r="C48" s="141" t="s">
        <v>126</v>
      </c>
      <c r="D48" s="141" t="s">
        <v>0</v>
      </c>
      <c r="F48"/>
    </row>
    <row r="49" spans="1:7" ht="32.25" customHeight="1" x14ac:dyDescent="0.25">
      <c r="A49" s="142" t="s">
        <v>127</v>
      </c>
      <c r="B49" s="195">
        <f>F11</f>
        <v>3461693.68</v>
      </c>
      <c r="C49" s="195">
        <f>F25</f>
        <v>2839432.19</v>
      </c>
      <c r="D49" s="195">
        <f>SUM(B49:C49)</f>
        <v>6301125.8700000001</v>
      </c>
      <c r="F49"/>
    </row>
    <row r="50" spans="1:7" ht="32.25" customHeight="1" x14ac:dyDescent="0.25">
      <c r="A50" s="142" t="s">
        <v>128</v>
      </c>
      <c r="B50" s="195">
        <f>'Anexo 3. Elemento de Despesas'!O38</f>
        <v>3461693.6799999997</v>
      </c>
      <c r="C50" s="195">
        <f>'Anexo 3. Elemento de Despesas'!P38</f>
        <v>2839432.19</v>
      </c>
      <c r="D50" s="195">
        <f>SUM(B50:C50)</f>
        <v>6301125.8699999992</v>
      </c>
      <c r="F50"/>
      <c r="G50" s="209"/>
    </row>
    <row r="51" spans="1:7" ht="18.75" x14ac:dyDescent="0.25">
      <c r="A51" s="143" t="s">
        <v>22</v>
      </c>
      <c r="B51" s="195">
        <f>B49-B50</f>
        <v>0</v>
      </c>
      <c r="C51" s="144">
        <f>C49-C50</f>
        <v>0</v>
      </c>
      <c r="D51" s="195">
        <f>D49-D50</f>
        <v>0</v>
      </c>
      <c r="F51"/>
    </row>
    <row r="53" spans="1:7" ht="30" customHeight="1" x14ac:dyDescent="0.25">
      <c r="A53" s="141" t="s">
        <v>351</v>
      </c>
      <c r="B53" s="141" t="s">
        <v>56</v>
      </c>
      <c r="C53" s="145"/>
      <c r="D53" s="237"/>
      <c r="E53" s="237"/>
    </row>
    <row r="54" spans="1:7" s="74" customFormat="1" ht="30" customHeight="1" x14ac:dyDescent="0.25">
      <c r="A54" s="141" t="s">
        <v>352</v>
      </c>
      <c r="B54" s="294">
        <v>6314977</v>
      </c>
      <c r="C54" s="295"/>
      <c r="D54" s="237"/>
      <c r="E54" s="237"/>
    </row>
    <row r="55" spans="1:7" s="74" customFormat="1" ht="30" customHeight="1" x14ac:dyDescent="0.25">
      <c r="A55" s="141" t="s">
        <v>203</v>
      </c>
      <c r="B55" s="70">
        <v>2839432.19</v>
      </c>
      <c r="C55" s="145"/>
      <c r="D55" s="237"/>
      <c r="E55" s="237"/>
    </row>
    <row r="56" spans="1:7" s="74" customFormat="1" ht="30" customHeight="1" x14ac:dyDescent="0.25">
      <c r="A56" s="141" t="s">
        <v>204</v>
      </c>
      <c r="B56" s="70">
        <v>0</v>
      </c>
      <c r="C56" s="145"/>
      <c r="D56" s="237"/>
      <c r="E56" s="237"/>
    </row>
    <row r="57" spans="1:7" s="74" customFormat="1" ht="23.25" x14ac:dyDescent="0.25">
      <c r="A57" s="141" t="s">
        <v>205</v>
      </c>
      <c r="B57" s="70">
        <f>B54-B55-B56</f>
        <v>3475544.81</v>
      </c>
      <c r="C57" s="145"/>
      <c r="D57" s="237"/>
      <c r="E57" s="237"/>
    </row>
    <row r="58" spans="1:7" s="74" customFormat="1" ht="23.25" x14ac:dyDescent="0.25">
      <c r="A58" s="141" t="s">
        <v>354</v>
      </c>
      <c r="B58" s="70"/>
      <c r="C58" s="145"/>
      <c r="D58" s="237"/>
      <c r="E58" s="237"/>
    </row>
    <row r="59" spans="1:7" s="74" customFormat="1" ht="23.25" x14ac:dyDescent="0.25">
      <c r="A59" s="141" t="s">
        <v>355</v>
      </c>
      <c r="B59" s="70"/>
      <c r="C59" s="145"/>
      <c r="D59" s="237"/>
      <c r="E59" s="237"/>
    </row>
    <row r="60" spans="1:7" ht="47.25" customHeight="1" x14ac:dyDescent="0.25">
      <c r="A60" s="512" t="s">
        <v>353</v>
      </c>
      <c r="B60" s="513"/>
      <c r="C60" s="513"/>
      <c r="D60" s="513"/>
      <c r="E60" s="513"/>
      <c r="F60" s="513"/>
      <c r="G60" s="513"/>
    </row>
    <row r="61" spans="1:7" ht="26.25" x14ac:dyDescent="0.25">
      <c r="A61" s="455" t="s">
        <v>350</v>
      </c>
      <c r="B61" s="456"/>
      <c r="C61" s="456"/>
      <c r="D61" s="456"/>
      <c r="E61" s="456"/>
      <c r="F61" s="456"/>
      <c r="G61" s="457"/>
    </row>
    <row r="62" spans="1:7" ht="99" customHeight="1" x14ac:dyDescent="0.25">
      <c r="A62" s="509" t="s">
        <v>520</v>
      </c>
      <c r="B62" s="510"/>
      <c r="C62" s="510"/>
      <c r="D62" s="510"/>
      <c r="E62" s="510"/>
      <c r="F62" s="510"/>
      <c r="G62" s="511"/>
    </row>
  </sheetData>
  <mergeCells count="49">
    <mergeCell ref="A11:B11"/>
    <mergeCell ref="A12:B12"/>
    <mergeCell ref="A10:B10"/>
    <mergeCell ref="A13:B13"/>
    <mergeCell ref="A62:G62"/>
    <mergeCell ref="A60:G60"/>
    <mergeCell ref="A30:B30"/>
    <mergeCell ref="A36:B36"/>
    <mergeCell ref="A39:I39"/>
    <mergeCell ref="A37:B37"/>
    <mergeCell ref="A38:B38"/>
    <mergeCell ref="A28:B28"/>
    <mergeCell ref="A29:B29"/>
    <mergeCell ref="A14:B14"/>
    <mergeCell ref="A15:B15"/>
    <mergeCell ref="A32:B32"/>
    <mergeCell ref="H10:I10"/>
    <mergeCell ref="H29:I29"/>
    <mergeCell ref="A42:A43"/>
    <mergeCell ref="A61:G61"/>
    <mergeCell ref="A47:I47"/>
    <mergeCell ref="B42:D42"/>
    <mergeCell ref="A18:B18"/>
    <mergeCell ref="A19:B19"/>
    <mergeCell ref="A20:B20"/>
    <mergeCell ref="A35:B35"/>
    <mergeCell ref="A26:B26"/>
    <mergeCell ref="E42:G42"/>
    <mergeCell ref="A33:B33"/>
    <mergeCell ref="A34:B34"/>
    <mergeCell ref="A27:B27"/>
    <mergeCell ref="A41:G41"/>
    <mergeCell ref="A4:I4"/>
    <mergeCell ref="D8:F8"/>
    <mergeCell ref="I8:I9"/>
    <mergeCell ref="A5:I5"/>
    <mergeCell ref="A6:I6"/>
    <mergeCell ref="A8:B9"/>
    <mergeCell ref="A7:F7"/>
    <mergeCell ref="C8:C9"/>
    <mergeCell ref="G8:H8"/>
    <mergeCell ref="A16:B16"/>
    <mergeCell ref="A17:B17"/>
    <mergeCell ref="A24:B24"/>
    <mergeCell ref="A25:B25"/>
    <mergeCell ref="A31:B31"/>
    <mergeCell ref="A21:B21"/>
    <mergeCell ref="A22:B22"/>
    <mergeCell ref="A23:B23"/>
  </mergeCells>
  <phoneticPr fontId="63" type="noConversion"/>
  <conditionalFormatting sqref="C40:F40">
    <cfRule type="cellIs" dxfId="6" priority="1" operator="equal">
      <formula>TRUE</formula>
    </cfRule>
    <cfRule type="cellIs" dxfId="5" priority="2" operator="equal">
      <formula>TRUE</formula>
    </cfRule>
  </conditionalFormatting>
  <pageMargins left="0.23622047244094491" right="0.23622047244094491" top="0.74803149606299213" bottom="0.74803149606299213" header="0.31496062992125984" footer="0.31496062992125984"/>
  <pageSetup paperSize="9" scale="81" orientation="portrait" horizontalDpi="300" verticalDpi="300" r:id="rId1"/>
  <ignoredErrors>
    <ignoredError sqref="E31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>
    <tabColor rgb="FF777777"/>
  </sheetPr>
  <dimension ref="A1:AE35"/>
  <sheetViews>
    <sheetView topLeftCell="A10" zoomScale="50" zoomScaleNormal="50" workbookViewId="0">
      <selection activeCell="K44" sqref="K44"/>
    </sheetView>
  </sheetViews>
  <sheetFormatPr defaultRowHeight="18.75" x14ac:dyDescent="0.3"/>
  <cols>
    <col min="1" max="1" width="9.140625" style="6"/>
    <col min="2" max="2" width="35.5703125" style="6" customWidth="1"/>
    <col min="3" max="3" width="35.7109375" style="6" customWidth="1"/>
    <col min="4" max="4" width="33.42578125" style="6" customWidth="1"/>
    <col min="5" max="5" width="37" style="6" customWidth="1"/>
    <col min="6" max="6" width="11.5703125" style="6" bestFit="1" customWidth="1"/>
    <col min="7" max="7" width="19.42578125" style="214" hidden="1" customWidth="1"/>
    <col min="8" max="8" width="23.7109375" style="214" customWidth="1"/>
    <col min="9" max="9" width="13.140625" style="6" customWidth="1"/>
    <col min="10" max="10" width="34.7109375" style="6" customWidth="1"/>
    <col min="11" max="11" width="70.140625" style="6" customWidth="1"/>
    <col min="12" max="12" width="34.140625" style="6" customWidth="1"/>
    <col min="13" max="13" width="25.28515625" style="6" bestFit="1" customWidth="1"/>
    <col min="14" max="14" width="27" style="6" bestFit="1" customWidth="1"/>
    <col min="15" max="15" width="11.5703125" style="6" bestFit="1" customWidth="1"/>
    <col min="16" max="16" width="17.28515625" style="214" hidden="1" customWidth="1"/>
    <col min="17" max="17" width="20.7109375" style="9" customWidth="1"/>
    <col min="18" max="18" width="16.7109375" style="6" customWidth="1"/>
    <col min="19" max="19" width="4" style="6" customWidth="1"/>
    <col min="20" max="20" width="15.140625" style="6" customWidth="1"/>
    <col min="21" max="259" width="9.140625" style="6"/>
    <col min="260" max="260" width="35.5703125" style="6" customWidth="1"/>
    <col min="261" max="261" width="23" style="6" customWidth="1"/>
    <col min="262" max="262" width="17.7109375" style="6" customWidth="1"/>
    <col min="263" max="263" width="18.42578125" style="6" customWidth="1"/>
    <col min="264" max="265" width="13.140625" style="6" customWidth="1"/>
    <col min="266" max="266" width="10.7109375" style="6" customWidth="1"/>
    <col min="267" max="267" width="40.85546875" style="6" customWidth="1"/>
    <col min="268" max="268" width="34.140625" style="6" customWidth="1"/>
    <col min="269" max="269" width="16" style="6" customWidth="1"/>
    <col min="270" max="270" width="15.7109375" style="6" customWidth="1"/>
    <col min="271" max="271" width="17.42578125" style="6" customWidth="1"/>
    <col min="272" max="272" width="10.7109375" style="6" customWidth="1"/>
    <col min="273" max="273" width="13" style="6" customWidth="1"/>
    <col min="274" max="274" width="16.7109375" style="6" customWidth="1"/>
    <col min="275" max="515" width="9.140625" style="6"/>
    <col min="516" max="516" width="35.5703125" style="6" customWidth="1"/>
    <col min="517" max="517" width="23" style="6" customWidth="1"/>
    <col min="518" max="518" width="17.7109375" style="6" customWidth="1"/>
    <col min="519" max="519" width="18.42578125" style="6" customWidth="1"/>
    <col min="520" max="521" width="13.140625" style="6" customWidth="1"/>
    <col min="522" max="522" width="10.7109375" style="6" customWidth="1"/>
    <col min="523" max="523" width="40.85546875" style="6" customWidth="1"/>
    <col min="524" max="524" width="34.140625" style="6" customWidth="1"/>
    <col min="525" max="525" width="16" style="6" customWidth="1"/>
    <col min="526" max="526" width="15.7109375" style="6" customWidth="1"/>
    <col min="527" max="527" width="17.42578125" style="6" customWidth="1"/>
    <col min="528" max="528" width="10.7109375" style="6" customWidth="1"/>
    <col min="529" max="529" width="13" style="6" customWidth="1"/>
    <col min="530" max="530" width="16.7109375" style="6" customWidth="1"/>
    <col min="531" max="771" width="9.140625" style="6"/>
    <col min="772" max="772" width="35.5703125" style="6" customWidth="1"/>
    <col min="773" max="773" width="23" style="6" customWidth="1"/>
    <col min="774" max="774" width="17.7109375" style="6" customWidth="1"/>
    <col min="775" max="775" width="18.42578125" style="6" customWidth="1"/>
    <col min="776" max="777" width="13.140625" style="6" customWidth="1"/>
    <col min="778" max="778" width="10.7109375" style="6" customWidth="1"/>
    <col min="779" max="779" width="40.85546875" style="6" customWidth="1"/>
    <col min="780" max="780" width="34.140625" style="6" customWidth="1"/>
    <col min="781" max="781" width="16" style="6" customWidth="1"/>
    <col min="782" max="782" width="15.7109375" style="6" customWidth="1"/>
    <col min="783" max="783" width="17.42578125" style="6" customWidth="1"/>
    <col min="784" max="784" width="10.7109375" style="6" customWidth="1"/>
    <col min="785" max="785" width="13" style="6" customWidth="1"/>
    <col min="786" max="786" width="16.7109375" style="6" customWidth="1"/>
    <col min="787" max="1027" width="9.140625" style="6"/>
    <col min="1028" max="1028" width="35.5703125" style="6" customWidth="1"/>
    <col min="1029" max="1029" width="23" style="6" customWidth="1"/>
    <col min="1030" max="1030" width="17.7109375" style="6" customWidth="1"/>
    <col min="1031" max="1031" width="18.42578125" style="6" customWidth="1"/>
    <col min="1032" max="1033" width="13.140625" style="6" customWidth="1"/>
    <col min="1034" max="1034" width="10.7109375" style="6" customWidth="1"/>
    <col min="1035" max="1035" width="40.85546875" style="6" customWidth="1"/>
    <col min="1036" max="1036" width="34.140625" style="6" customWidth="1"/>
    <col min="1037" max="1037" width="16" style="6" customWidth="1"/>
    <col min="1038" max="1038" width="15.7109375" style="6" customWidth="1"/>
    <col min="1039" max="1039" width="17.42578125" style="6" customWidth="1"/>
    <col min="1040" max="1040" width="10.7109375" style="6" customWidth="1"/>
    <col min="1041" max="1041" width="13" style="6" customWidth="1"/>
    <col min="1042" max="1042" width="16.7109375" style="6" customWidth="1"/>
    <col min="1043" max="1283" width="9.140625" style="6"/>
    <col min="1284" max="1284" width="35.5703125" style="6" customWidth="1"/>
    <col min="1285" max="1285" width="23" style="6" customWidth="1"/>
    <col min="1286" max="1286" width="17.7109375" style="6" customWidth="1"/>
    <col min="1287" max="1287" width="18.42578125" style="6" customWidth="1"/>
    <col min="1288" max="1289" width="13.140625" style="6" customWidth="1"/>
    <col min="1290" max="1290" width="10.7109375" style="6" customWidth="1"/>
    <col min="1291" max="1291" width="40.85546875" style="6" customWidth="1"/>
    <col min="1292" max="1292" width="34.140625" style="6" customWidth="1"/>
    <col min="1293" max="1293" width="16" style="6" customWidth="1"/>
    <col min="1294" max="1294" width="15.7109375" style="6" customWidth="1"/>
    <col min="1295" max="1295" width="17.42578125" style="6" customWidth="1"/>
    <col min="1296" max="1296" width="10.7109375" style="6" customWidth="1"/>
    <col min="1297" max="1297" width="13" style="6" customWidth="1"/>
    <col min="1298" max="1298" width="16.7109375" style="6" customWidth="1"/>
    <col min="1299" max="1539" width="9.140625" style="6"/>
    <col min="1540" max="1540" width="35.5703125" style="6" customWidth="1"/>
    <col min="1541" max="1541" width="23" style="6" customWidth="1"/>
    <col min="1542" max="1542" width="17.7109375" style="6" customWidth="1"/>
    <col min="1543" max="1543" width="18.42578125" style="6" customWidth="1"/>
    <col min="1544" max="1545" width="13.140625" style="6" customWidth="1"/>
    <col min="1546" max="1546" width="10.7109375" style="6" customWidth="1"/>
    <col min="1547" max="1547" width="40.85546875" style="6" customWidth="1"/>
    <col min="1548" max="1548" width="34.140625" style="6" customWidth="1"/>
    <col min="1549" max="1549" width="16" style="6" customWidth="1"/>
    <col min="1550" max="1550" width="15.7109375" style="6" customWidth="1"/>
    <col min="1551" max="1551" width="17.42578125" style="6" customWidth="1"/>
    <col min="1552" max="1552" width="10.7109375" style="6" customWidth="1"/>
    <col min="1553" max="1553" width="13" style="6" customWidth="1"/>
    <col min="1554" max="1554" width="16.7109375" style="6" customWidth="1"/>
    <col min="1555" max="1795" width="9.140625" style="6"/>
    <col min="1796" max="1796" width="35.5703125" style="6" customWidth="1"/>
    <col min="1797" max="1797" width="23" style="6" customWidth="1"/>
    <col min="1798" max="1798" width="17.7109375" style="6" customWidth="1"/>
    <col min="1799" max="1799" width="18.42578125" style="6" customWidth="1"/>
    <col min="1800" max="1801" width="13.140625" style="6" customWidth="1"/>
    <col min="1802" max="1802" width="10.7109375" style="6" customWidth="1"/>
    <col min="1803" max="1803" width="40.85546875" style="6" customWidth="1"/>
    <col min="1804" max="1804" width="34.140625" style="6" customWidth="1"/>
    <col min="1805" max="1805" width="16" style="6" customWidth="1"/>
    <col min="1806" max="1806" width="15.7109375" style="6" customWidth="1"/>
    <col min="1807" max="1807" width="17.42578125" style="6" customWidth="1"/>
    <col min="1808" max="1808" width="10.7109375" style="6" customWidth="1"/>
    <col min="1809" max="1809" width="13" style="6" customWidth="1"/>
    <col min="1810" max="1810" width="16.7109375" style="6" customWidth="1"/>
    <col min="1811" max="2051" width="9.140625" style="6"/>
    <col min="2052" max="2052" width="35.5703125" style="6" customWidth="1"/>
    <col min="2053" max="2053" width="23" style="6" customWidth="1"/>
    <col min="2054" max="2054" width="17.7109375" style="6" customWidth="1"/>
    <col min="2055" max="2055" width="18.42578125" style="6" customWidth="1"/>
    <col min="2056" max="2057" width="13.140625" style="6" customWidth="1"/>
    <col min="2058" max="2058" width="10.7109375" style="6" customWidth="1"/>
    <col min="2059" max="2059" width="40.85546875" style="6" customWidth="1"/>
    <col min="2060" max="2060" width="34.140625" style="6" customWidth="1"/>
    <col min="2061" max="2061" width="16" style="6" customWidth="1"/>
    <col min="2062" max="2062" width="15.7109375" style="6" customWidth="1"/>
    <col min="2063" max="2063" width="17.42578125" style="6" customWidth="1"/>
    <col min="2064" max="2064" width="10.7109375" style="6" customWidth="1"/>
    <col min="2065" max="2065" width="13" style="6" customWidth="1"/>
    <col min="2066" max="2066" width="16.7109375" style="6" customWidth="1"/>
    <col min="2067" max="2307" width="9.140625" style="6"/>
    <col min="2308" max="2308" width="35.5703125" style="6" customWidth="1"/>
    <col min="2309" max="2309" width="23" style="6" customWidth="1"/>
    <col min="2310" max="2310" width="17.7109375" style="6" customWidth="1"/>
    <col min="2311" max="2311" width="18.42578125" style="6" customWidth="1"/>
    <col min="2312" max="2313" width="13.140625" style="6" customWidth="1"/>
    <col min="2314" max="2314" width="10.7109375" style="6" customWidth="1"/>
    <col min="2315" max="2315" width="40.85546875" style="6" customWidth="1"/>
    <col min="2316" max="2316" width="34.140625" style="6" customWidth="1"/>
    <col min="2317" max="2317" width="16" style="6" customWidth="1"/>
    <col min="2318" max="2318" width="15.7109375" style="6" customWidth="1"/>
    <col min="2319" max="2319" width="17.42578125" style="6" customWidth="1"/>
    <col min="2320" max="2320" width="10.7109375" style="6" customWidth="1"/>
    <col min="2321" max="2321" width="13" style="6" customWidth="1"/>
    <col min="2322" max="2322" width="16.7109375" style="6" customWidth="1"/>
    <col min="2323" max="2563" width="9.140625" style="6"/>
    <col min="2564" max="2564" width="35.5703125" style="6" customWidth="1"/>
    <col min="2565" max="2565" width="23" style="6" customWidth="1"/>
    <col min="2566" max="2566" width="17.7109375" style="6" customWidth="1"/>
    <col min="2567" max="2567" width="18.42578125" style="6" customWidth="1"/>
    <col min="2568" max="2569" width="13.140625" style="6" customWidth="1"/>
    <col min="2570" max="2570" width="10.7109375" style="6" customWidth="1"/>
    <col min="2571" max="2571" width="40.85546875" style="6" customWidth="1"/>
    <col min="2572" max="2572" width="34.140625" style="6" customWidth="1"/>
    <col min="2573" max="2573" width="16" style="6" customWidth="1"/>
    <col min="2574" max="2574" width="15.7109375" style="6" customWidth="1"/>
    <col min="2575" max="2575" width="17.42578125" style="6" customWidth="1"/>
    <col min="2576" max="2576" width="10.7109375" style="6" customWidth="1"/>
    <col min="2577" max="2577" width="13" style="6" customWidth="1"/>
    <col min="2578" max="2578" width="16.7109375" style="6" customWidth="1"/>
    <col min="2579" max="2819" width="9.140625" style="6"/>
    <col min="2820" max="2820" width="35.5703125" style="6" customWidth="1"/>
    <col min="2821" max="2821" width="23" style="6" customWidth="1"/>
    <col min="2822" max="2822" width="17.7109375" style="6" customWidth="1"/>
    <col min="2823" max="2823" width="18.42578125" style="6" customWidth="1"/>
    <col min="2824" max="2825" width="13.140625" style="6" customWidth="1"/>
    <col min="2826" max="2826" width="10.7109375" style="6" customWidth="1"/>
    <col min="2827" max="2827" width="40.85546875" style="6" customWidth="1"/>
    <col min="2828" max="2828" width="34.140625" style="6" customWidth="1"/>
    <col min="2829" max="2829" width="16" style="6" customWidth="1"/>
    <col min="2830" max="2830" width="15.7109375" style="6" customWidth="1"/>
    <col min="2831" max="2831" width="17.42578125" style="6" customWidth="1"/>
    <col min="2832" max="2832" width="10.7109375" style="6" customWidth="1"/>
    <col min="2833" max="2833" width="13" style="6" customWidth="1"/>
    <col min="2834" max="2834" width="16.7109375" style="6" customWidth="1"/>
    <col min="2835" max="3075" width="9.140625" style="6"/>
    <col min="3076" max="3076" width="35.5703125" style="6" customWidth="1"/>
    <col min="3077" max="3077" width="23" style="6" customWidth="1"/>
    <col min="3078" max="3078" width="17.7109375" style="6" customWidth="1"/>
    <col min="3079" max="3079" width="18.42578125" style="6" customWidth="1"/>
    <col min="3080" max="3081" width="13.140625" style="6" customWidth="1"/>
    <col min="3082" max="3082" width="10.7109375" style="6" customWidth="1"/>
    <col min="3083" max="3083" width="40.85546875" style="6" customWidth="1"/>
    <col min="3084" max="3084" width="34.140625" style="6" customWidth="1"/>
    <col min="3085" max="3085" width="16" style="6" customWidth="1"/>
    <col min="3086" max="3086" width="15.7109375" style="6" customWidth="1"/>
    <col min="3087" max="3087" width="17.42578125" style="6" customWidth="1"/>
    <col min="3088" max="3088" width="10.7109375" style="6" customWidth="1"/>
    <col min="3089" max="3089" width="13" style="6" customWidth="1"/>
    <col min="3090" max="3090" width="16.7109375" style="6" customWidth="1"/>
    <col min="3091" max="3331" width="9.140625" style="6"/>
    <col min="3332" max="3332" width="35.5703125" style="6" customWidth="1"/>
    <col min="3333" max="3333" width="23" style="6" customWidth="1"/>
    <col min="3334" max="3334" width="17.7109375" style="6" customWidth="1"/>
    <col min="3335" max="3335" width="18.42578125" style="6" customWidth="1"/>
    <col min="3336" max="3337" width="13.140625" style="6" customWidth="1"/>
    <col min="3338" max="3338" width="10.7109375" style="6" customWidth="1"/>
    <col min="3339" max="3339" width="40.85546875" style="6" customWidth="1"/>
    <col min="3340" max="3340" width="34.140625" style="6" customWidth="1"/>
    <col min="3341" max="3341" width="16" style="6" customWidth="1"/>
    <col min="3342" max="3342" width="15.7109375" style="6" customWidth="1"/>
    <col min="3343" max="3343" width="17.42578125" style="6" customWidth="1"/>
    <col min="3344" max="3344" width="10.7109375" style="6" customWidth="1"/>
    <col min="3345" max="3345" width="13" style="6" customWidth="1"/>
    <col min="3346" max="3346" width="16.7109375" style="6" customWidth="1"/>
    <col min="3347" max="3587" width="9.140625" style="6"/>
    <col min="3588" max="3588" width="35.5703125" style="6" customWidth="1"/>
    <col min="3589" max="3589" width="23" style="6" customWidth="1"/>
    <col min="3590" max="3590" width="17.7109375" style="6" customWidth="1"/>
    <col min="3591" max="3591" width="18.42578125" style="6" customWidth="1"/>
    <col min="3592" max="3593" width="13.140625" style="6" customWidth="1"/>
    <col min="3594" max="3594" width="10.7109375" style="6" customWidth="1"/>
    <col min="3595" max="3595" width="40.85546875" style="6" customWidth="1"/>
    <col min="3596" max="3596" width="34.140625" style="6" customWidth="1"/>
    <col min="3597" max="3597" width="16" style="6" customWidth="1"/>
    <col min="3598" max="3598" width="15.7109375" style="6" customWidth="1"/>
    <col min="3599" max="3599" width="17.42578125" style="6" customWidth="1"/>
    <col min="3600" max="3600" width="10.7109375" style="6" customWidth="1"/>
    <col min="3601" max="3601" width="13" style="6" customWidth="1"/>
    <col min="3602" max="3602" width="16.7109375" style="6" customWidth="1"/>
    <col min="3603" max="3843" width="9.140625" style="6"/>
    <col min="3844" max="3844" width="35.5703125" style="6" customWidth="1"/>
    <col min="3845" max="3845" width="23" style="6" customWidth="1"/>
    <col min="3846" max="3846" width="17.7109375" style="6" customWidth="1"/>
    <col min="3847" max="3847" width="18.42578125" style="6" customWidth="1"/>
    <col min="3848" max="3849" width="13.140625" style="6" customWidth="1"/>
    <col min="3850" max="3850" width="10.7109375" style="6" customWidth="1"/>
    <col min="3851" max="3851" width="40.85546875" style="6" customWidth="1"/>
    <col min="3852" max="3852" width="34.140625" style="6" customWidth="1"/>
    <col min="3853" max="3853" width="16" style="6" customWidth="1"/>
    <col min="3854" max="3854" width="15.7109375" style="6" customWidth="1"/>
    <col min="3855" max="3855" width="17.42578125" style="6" customWidth="1"/>
    <col min="3856" max="3856" width="10.7109375" style="6" customWidth="1"/>
    <col min="3857" max="3857" width="13" style="6" customWidth="1"/>
    <col min="3858" max="3858" width="16.7109375" style="6" customWidth="1"/>
    <col min="3859" max="4099" width="9.140625" style="6"/>
    <col min="4100" max="4100" width="35.5703125" style="6" customWidth="1"/>
    <col min="4101" max="4101" width="23" style="6" customWidth="1"/>
    <col min="4102" max="4102" width="17.7109375" style="6" customWidth="1"/>
    <col min="4103" max="4103" width="18.42578125" style="6" customWidth="1"/>
    <col min="4104" max="4105" width="13.140625" style="6" customWidth="1"/>
    <col min="4106" max="4106" width="10.7109375" style="6" customWidth="1"/>
    <col min="4107" max="4107" width="40.85546875" style="6" customWidth="1"/>
    <col min="4108" max="4108" width="34.140625" style="6" customWidth="1"/>
    <col min="4109" max="4109" width="16" style="6" customWidth="1"/>
    <col min="4110" max="4110" width="15.7109375" style="6" customWidth="1"/>
    <col min="4111" max="4111" width="17.42578125" style="6" customWidth="1"/>
    <col min="4112" max="4112" width="10.7109375" style="6" customWidth="1"/>
    <col min="4113" max="4113" width="13" style="6" customWidth="1"/>
    <col min="4114" max="4114" width="16.7109375" style="6" customWidth="1"/>
    <col min="4115" max="4355" width="9.140625" style="6"/>
    <col min="4356" max="4356" width="35.5703125" style="6" customWidth="1"/>
    <col min="4357" max="4357" width="23" style="6" customWidth="1"/>
    <col min="4358" max="4358" width="17.7109375" style="6" customWidth="1"/>
    <col min="4359" max="4359" width="18.42578125" style="6" customWidth="1"/>
    <col min="4360" max="4361" width="13.140625" style="6" customWidth="1"/>
    <col min="4362" max="4362" width="10.7109375" style="6" customWidth="1"/>
    <col min="4363" max="4363" width="40.85546875" style="6" customWidth="1"/>
    <col min="4364" max="4364" width="34.140625" style="6" customWidth="1"/>
    <col min="4365" max="4365" width="16" style="6" customWidth="1"/>
    <col min="4366" max="4366" width="15.7109375" style="6" customWidth="1"/>
    <col min="4367" max="4367" width="17.42578125" style="6" customWidth="1"/>
    <col min="4368" max="4368" width="10.7109375" style="6" customWidth="1"/>
    <col min="4369" max="4369" width="13" style="6" customWidth="1"/>
    <col min="4370" max="4370" width="16.7109375" style="6" customWidth="1"/>
    <col min="4371" max="4611" width="9.140625" style="6"/>
    <col min="4612" max="4612" width="35.5703125" style="6" customWidth="1"/>
    <col min="4613" max="4613" width="23" style="6" customWidth="1"/>
    <col min="4614" max="4614" width="17.7109375" style="6" customWidth="1"/>
    <col min="4615" max="4615" width="18.42578125" style="6" customWidth="1"/>
    <col min="4616" max="4617" width="13.140625" style="6" customWidth="1"/>
    <col min="4618" max="4618" width="10.7109375" style="6" customWidth="1"/>
    <col min="4619" max="4619" width="40.85546875" style="6" customWidth="1"/>
    <col min="4620" max="4620" width="34.140625" style="6" customWidth="1"/>
    <col min="4621" max="4621" width="16" style="6" customWidth="1"/>
    <col min="4622" max="4622" width="15.7109375" style="6" customWidth="1"/>
    <col min="4623" max="4623" width="17.42578125" style="6" customWidth="1"/>
    <col min="4624" max="4624" width="10.7109375" style="6" customWidth="1"/>
    <col min="4625" max="4625" width="13" style="6" customWidth="1"/>
    <col min="4626" max="4626" width="16.7109375" style="6" customWidth="1"/>
    <col min="4627" max="4867" width="9.140625" style="6"/>
    <col min="4868" max="4868" width="35.5703125" style="6" customWidth="1"/>
    <col min="4869" max="4869" width="23" style="6" customWidth="1"/>
    <col min="4870" max="4870" width="17.7109375" style="6" customWidth="1"/>
    <col min="4871" max="4871" width="18.42578125" style="6" customWidth="1"/>
    <col min="4872" max="4873" width="13.140625" style="6" customWidth="1"/>
    <col min="4874" max="4874" width="10.7109375" style="6" customWidth="1"/>
    <col min="4875" max="4875" width="40.85546875" style="6" customWidth="1"/>
    <col min="4876" max="4876" width="34.140625" style="6" customWidth="1"/>
    <col min="4877" max="4877" width="16" style="6" customWidth="1"/>
    <col min="4878" max="4878" width="15.7109375" style="6" customWidth="1"/>
    <col min="4879" max="4879" width="17.42578125" style="6" customWidth="1"/>
    <col min="4880" max="4880" width="10.7109375" style="6" customWidth="1"/>
    <col min="4881" max="4881" width="13" style="6" customWidth="1"/>
    <col min="4882" max="4882" width="16.7109375" style="6" customWidth="1"/>
    <col min="4883" max="5123" width="9.140625" style="6"/>
    <col min="5124" max="5124" width="35.5703125" style="6" customWidth="1"/>
    <col min="5125" max="5125" width="23" style="6" customWidth="1"/>
    <col min="5126" max="5126" width="17.7109375" style="6" customWidth="1"/>
    <col min="5127" max="5127" width="18.42578125" style="6" customWidth="1"/>
    <col min="5128" max="5129" width="13.140625" style="6" customWidth="1"/>
    <col min="5130" max="5130" width="10.7109375" style="6" customWidth="1"/>
    <col min="5131" max="5131" width="40.85546875" style="6" customWidth="1"/>
    <col min="5132" max="5132" width="34.140625" style="6" customWidth="1"/>
    <col min="5133" max="5133" width="16" style="6" customWidth="1"/>
    <col min="5134" max="5134" width="15.7109375" style="6" customWidth="1"/>
    <col min="5135" max="5135" width="17.42578125" style="6" customWidth="1"/>
    <col min="5136" max="5136" width="10.7109375" style="6" customWidth="1"/>
    <col min="5137" max="5137" width="13" style="6" customWidth="1"/>
    <col min="5138" max="5138" width="16.7109375" style="6" customWidth="1"/>
    <col min="5139" max="5379" width="9.140625" style="6"/>
    <col min="5380" max="5380" width="35.5703125" style="6" customWidth="1"/>
    <col min="5381" max="5381" width="23" style="6" customWidth="1"/>
    <col min="5382" max="5382" width="17.7109375" style="6" customWidth="1"/>
    <col min="5383" max="5383" width="18.42578125" style="6" customWidth="1"/>
    <col min="5384" max="5385" width="13.140625" style="6" customWidth="1"/>
    <col min="5386" max="5386" width="10.7109375" style="6" customWidth="1"/>
    <col min="5387" max="5387" width="40.85546875" style="6" customWidth="1"/>
    <col min="5388" max="5388" width="34.140625" style="6" customWidth="1"/>
    <col min="5389" max="5389" width="16" style="6" customWidth="1"/>
    <col min="5390" max="5390" width="15.7109375" style="6" customWidth="1"/>
    <col min="5391" max="5391" width="17.42578125" style="6" customWidth="1"/>
    <col min="5392" max="5392" width="10.7109375" style="6" customWidth="1"/>
    <col min="5393" max="5393" width="13" style="6" customWidth="1"/>
    <col min="5394" max="5394" width="16.7109375" style="6" customWidth="1"/>
    <col min="5395" max="5635" width="9.140625" style="6"/>
    <col min="5636" max="5636" width="35.5703125" style="6" customWidth="1"/>
    <col min="5637" max="5637" width="23" style="6" customWidth="1"/>
    <col min="5638" max="5638" width="17.7109375" style="6" customWidth="1"/>
    <col min="5639" max="5639" width="18.42578125" style="6" customWidth="1"/>
    <col min="5640" max="5641" width="13.140625" style="6" customWidth="1"/>
    <col min="5642" max="5642" width="10.7109375" style="6" customWidth="1"/>
    <col min="5643" max="5643" width="40.85546875" style="6" customWidth="1"/>
    <col min="5644" max="5644" width="34.140625" style="6" customWidth="1"/>
    <col min="5645" max="5645" width="16" style="6" customWidth="1"/>
    <col min="5646" max="5646" width="15.7109375" style="6" customWidth="1"/>
    <col min="5647" max="5647" width="17.42578125" style="6" customWidth="1"/>
    <col min="5648" max="5648" width="10.7109375" style="6" customWidth="1"/>
    <col min="5649" max="5649" width="13" style="6" customWidth="1"/>
    <col min="5650" max="5650" width="16.7109375" style="6" customWidth="1"/>
    <col min="5651" max="5891" width="9.140625" style="6"/>
    <col min="5892" max="5892" width="35.5703125" style="6" customWidth="1"/>
    <col min="5893" max="5893" width="23" style="6" customWidth="1"/>
    <col min="5894" max="5894" width="17.7109375" style="6" customWidth="1"/>
    <col min="5895" max="5895" width="18.42578125" style="6" customWidth="1"/>
    <col min="5896" max="5897" width="13.140625" style="6" customWidth="1"/>
    <col min="5898" max="5898" width="10.7109375" style="6" customWidth="1"/>
    <col min="5899" max="5899" width="40.85546875" style="6" customWidth="1"/>
    <col min="5900" max="5900" width="34.140625" style="6" customWidth="1"/>
    <col min="5901" max="5901" width="16" style="6" customWidth="1"/>
    <col min="5902" max="5902" width="15.7109375" style="6" customWidth="1"/>
    <col min="5903" max="5903" width="17.42578125" style="6" customWidth="1"/>
    <col min="5904" max="5904" width="10.7109375" style="6" customWidth="1"/>
    <col min="5905" max="5905" width="13" style="6" customWidth="1"/>
    <col min="5906" max="5906" width="16.7109375" style="6" customWidth="1"/>
    <col min="5907" max="6147" width="9.140625" style="6"/>
    <col min="6148" max="6148" width="35.5703125" style="6" customWidth="1"/>
    <col min="6149" max="6149" width="23" style="6" customWidth="1"/>
    <col min="6150" max="6150" width="17.7109375" style="6" customWidth="1"/>
    <col min="6151" max="6151" width="18.42578125" style="6" customWidth="1"/>
    <col min="6152" max="6153" width="13.140625" style="6" customWidth="1"/>
    <col min="6154" max="6154" width="10.7109375" style="6" customWidth="1"/>
    <col min="6155" max="6155" width="40.85546875" style="6" customWidth="1"/>
    <col min="6156" max="6156" width="34.140625" style="6" customWidth="1"/>
    <col min="6157" max="6157" width="16" style="6" customWidth="1"/>
    <col min="6158" max="6158" width="15.7109375" style="6" customWidth="1"/>
    <col min="6159" max="6159" width="17.42578125" style="6" customWidth="1"/>
    <col min="6160" max="6160" width="10.7109375" style="6" customWidth="1"/>
    <col min="6161" max="6161" width="13" style="6" customWidth="1"/>
    <col min="6162" max="6162" width="16.7109375" style="6" customWidth="1"/>
    <col min="6163" max="6403" width="9.140625" style="6"/>
    <col min="6404" max="6404" width="35.5703125" style="6" customWidth="1"/>
    <col min="6405" max="6405" width="23" style="6" customWidth="1"/>
    <col min="6406" max="6406" width="17.7109375" style="6" customWidth="1"/>
    <col min="6407" max="6407" width="18.42578125" style="6" customWidth="1"/>
    <col min="6408" max="6409" width="13.140625" style="6" customWidth="1"/>
    <col min="6410" max="6410" width="10.7109375" style="6" customWidth="1"/>
    <col min="6411" max="6411" width="40.85546875" style="6" customWidth="1"/>
    <col min="6412" max="6412" width="34.140625" style="6" customWidth="1"/>
    <col min="6413" max="6413" width="16" style="6" customWidth="1"/>
    <col min="6414" max="6414" width="15.7109375" style="6" customWidth="1"/>
    <col min="6415" max="6415" width="17.42578125" style="6" customWidth="1"/>
    <col min="6416" max="6416" width="10.7109375" style="6" customWidth="1"/>
    <col min="6417" max="6417" width="13" style="6" customWidth="1"/>
    <col min="6418" max="6418" width="16.7109375" style="6" customWidth="1"/>
    <col min="6419" max="6659" width="9.140625" style="6"/>
    <col min="6660" max="6660" width="35.5703125" style="6" customWidth="1"/>
    <col min="6661" max="6661" width="23" style="6" customWidth="1"/>
    <col min="6662" max="6662" width="17.7109375" style="6" customWidth="1"/>
    <col min="6663" max="6663" width="18.42578125" style="6" customWidth="1"/>
    <col min="6664" max="6665" width="13.140625" style="6" customWidth="1"/>
    <col min="6666" max="6666" width="10.7109375" style="6" customWidth="1"/>
    <col min="6667" max="6667" width="40.85546875" style="6" customWidth="1"/>
    <col min="6668" max="6668" width="34.140625" style="6" customWidth="1"/>
    <col min="6669" max="6669" width="16" style="6" customWidth="1"/>
    <col min="6670" max="6670" width="15.7109375" style="6" customWidth="1"/>
    <col min="6671" max="6671" width="17.42578125" style="6" customWidth="1"/>
    <col min="6672" max="6672" width="10.7109375" style="6" customWidth="1"/>
    <col min="6673" max="6673" width="13" style="6" customWidth="1"/>
    <col min="6674" max="6674" width="16.7109375" style="6" customWidth="1"/>
    <col min="6675" max="6915" width="9.140625" style="6"/>
    <col min="6916" max="6916" width="35.5703125" style="6" customWidth="1"/>
    <col min="6917" max="6917" width="23" style="6" customWidth="1"/>
    <col min="6918" max="6918" width="17.7109375" style="6" customWidth="1"/>
    <col min="6919" max="6919" width="18.42578125" style="6" customWidth="1"/>
    <col min="6920" max="6921" width="13.140625" style="6" customWidth="1"/>
    <col min="6922" max="6922" width="10.7109375" style="6" customWidth="1"/>
    <col min="6923" max="6923" width="40.85546875" style="6" customWidth="1"/>
    <col min="6924" max="6924" width="34.140625" style="6" customWidth="1"/>
    <col min="6925" max="6925" width="16" style="6" customWidth="1"/>
    <col min="6926" max="6926" width="15.7109375" style="6" customWidth="1"/>
    <col min="6927" max="6927" width="17.42578125" style="6" customWidth="1"/>
    <col min="6928" max="6928" width="10.7109375" style="6" customWidth="1"/>
    <col min="6929" max="6929" width="13" style="6" customWidth="1"/>
    <col min="6930" max="6930" width="16.7109375" style="6" customWidth="1"/>
    <col min="6931" max="7171" width="9.140625" style="6"/>
    <col min="7172" max="7172" width="35.5703125" style="6" customWidth="1"/>
    <col min="7173" max="7173" width="23" style="6" customWidth="1"/>
    <col min="7174" max="7174" width="17.7109375" style="6" customWidth="1"/>
    <col min="7175" max="7175" width="18.42578125" style="6" customWidth="1"/>
    <col min="7176" max="7177" width="13.140625" style="6" customWidth="1"/>
    <col min="7178" max="7178" width="10.7109375" style="6" customWidth="1"/>
    <col min="7179" max="7179" width="40.85546875" style="6" customWidth="1"/>
    <col min="7180" max="7180" width="34.140625" style="6" customWidth="1"/>
    <col min="7181" max="7181" width="16" style="6" customWidth="1"/>
    <col min="7182" max="7182" width="15.7109375" style="6" customWidth="1"/>
    <col min="7183" max="7183" width="17.42578125" style="6" customWidth="1"/>
    <col min="7184" max="7184" width="10.7109375" style="6" customWidth="1"/>
    <col min="7185" max="7185" width="13" style="6" customWidth="1"/>
    <col min="7186" max="7186" width="16.7109375" style="6" customWidth="1"/>
    <col min="7187" max="7427" width="9.140625" style="6"/>
    <col min="7428" max="7428" width="35.5703125" style="6" customWidth="1"/>
    <col min="7429" max="7429" width="23" style="6" customWidth="1"/>
    <col min="7430" max="7430" width="17.7109375" style="6" customWidth="1"/>
    <col min="7431" max="7431" width="18.42578125" style="6" customWidth="1"/>
    <col min="7432" max="7433" width="13.140625" style="6" customWidth="1"/>
    <col min="7434" max="7434" width="10.7109375" style="6" customWidth="1"/>
    <col min="7435" max="7435" width="40.85546875" style="6" customWidth="1"/>
    <col min="7436" max="7436" width="34.140625" style="6" customWidth="1"/>
    <col min="7437" max="7437" width="16" style="6" customWidth="1"/>
    <col min="7438" max="7438" width="15.7109375" style="6" customWidth="1"/>
    <col min="7439" max="7439" width="17.42578125" style="6" customWidth="1"/>
    <col min="7440" max="7440" width="10.7109375" style="6" customWidth="1"/>
    <col min="7441" max="7441" width="13" style="6" customWidth="1"/>
    <col min="7442" max="7442" width="16.7109375" style="6" customWidth="1"/>
    <col min="7443" max="7683" width="9.140625" style="6"/>
    <col min="7684" max="7684" width="35.5703125" style="6" customWidth="1"/>
    <col min="7685" max="7685" width="23" style="6" customWidth="1"/>
    <col min="7686" max="7686" width="17.7109375" style="6" customWidth="1"/>
    <col min="7687" max="7687" width="18.42578125" style="6" customWidth="1"/>
    <col min="7688" max="7689" width="13.140625" style="6" customWidth="1"/>
    <col min="7690" max="7690" width="10.7109375" style="6" customWidth="1"/>
    <col min="7691" max="7691" width="40.85546875" style="6" customWidth="1"/>
    <col min="7692" max="7692" width="34.140625" style="6" customWidth="1"/>
    <col min="7693" max="7693" width="16" style="6" customWidth="1"/>
    <col min="7694" max="7694" width="15.7109375" style="6" customWidth="1"/>
    <col min="7695" max="7695" width="17.42578125" style="6" customWidth="1"/>
    <col min="7696" max="7696" width="10.7109375" style="6" customWidth="1"/>
    <col min="7697" max="7697" width="13" style="6" customWidth="1"/>
    <col min="7698" max="7698" width="16.7109375" style="6" customWidth="1"/>
    <col min="7699" max="7939" width="9.140625" style="6"/>
    <col min="7940" max="7940" width="35.5703125" style="6" customWidth="1"/>
    <col min="7941" max="7941" width="23" style="6" customWidth="1"/>
    <col min="7942" max="7942" width="17.7109375" style="6" customWidth="1"/>
    <col min="7943" max="7943" width="18.42578125" style="6" customWidth="1"/>
    <col min="7944" max="7945" width="13.140625" style="6" customWidth="1"/>
    <col min="7946" max="7946" width="10.7109375" style="6" customWidth="1"/>
    <col min="7947" max="7947" width="40.85546875" style="6" customWidth="1"/>
    <col min="7948" max="7948" width="34.140625" style="6" customWidth="1"/>
    <col min="7949" max="7949" width="16" style="6" customWidth="1"/>
    <col min="7950" max="7950" width="15.7109375" style="6" customWidth="1"/>
    <col min="7951" max="7951" width="17.42578125" style="6" customWidth="1"/>
    <col min="7952" max="7952" width="10.7109375" style="6" customWidth="1"/>
    <col min="7953" max="7953" width="13" style="6" customWidth="1"/>
    <col min="7954" max="7954" width="16.7109375" style="6" customWidth="1"/>
    <col min="7955" max="8195" width="9.140625" style="6"/>
    <col min="8196" max="8196" width="35.5703125" style="6" customWidth="1"/>
    <col min="8197" max="8197" width="23" style="6" customWidth="1"/>
    <col min="8198" max="8198" width="17.7109375" style="6" customWidth="1"/>
    <col min="8199" max="8199" width="18.42578125" style="6" customWidth="1"/>
    <col min="8200" max="8201" width="13.140625" style="6" customWidth="1"/>
    <col min="8202" max="8202" width="10.7109375" style="6" customWidth="1"/>
    <col min="8203" max="8203" width="40.85546875" style="6" customWidth="1"/>
    <col min="8204" max="8204" width="34.140625" style="6" customWidth="1"/>
    <col min="8205" max="8205" width="16" style="6" customWidth="1"/>
    <col min="8206" max="8206" width="15.7109375" style="6" customWidth="1"/>
    <col min="8207" max="8207" width="17.42578125" style="6" customWidth="1"/>
    <col min="8208" max="8208" width="10.7109375" style="6" customWidth="1"/>
    <col min="8209" max="8209" width="13" style="6" customWidth="1"/>
    <col min="8210" max="8210" width="16.7109375" style="6" customWidth="1"/>
    <col min="8211" max="8451" width="9.140625" style="6"/>
    <col min="8452" max="8452" width="35.5703125" style="6" customWidth="1"/>
    <col min="8453" max="8453" width="23" style="6" customWidth="1"/>
    <col min="8454" max="8454" width="17.7109375" style="6" customWidth="1"/>
    <col min="8455" max="8455" width="18.42578125" style="6" customWidth="1"/>
    <col min="8456" max="8457" width="13.140625" style="6" customWidth="1"/>
    <col min="8458" max="8458" width="10.7109375" style="6" customWidth="1"/>
    <col min="8459" max="8459" width="40.85546875" style="6" customWidth="1"/>
    <col min="8460" max="8460" width="34.140625" style="6" customWidth="1"/>
    <col min="8461" max="8461" width="16" style="6" customWidth="1"/>
    <col min="8462" max="8462" width="15.7109375" style="6" customWidth="1"/>
    <col min="8463" max="8463" width="17.42578125" style="6" customWidth="1"/>
    <col min="8464" max="8464" width="10.7109375" style="6" customWidth="1"/>
    <col min="8465" max="8465" width="13" style="6" customWidth="1"/>
    <col min="8466" max="8466" width="16.7109375" style="6" customWidth="1"/>
    <col min="8467" max="8707" width="9.140625" style="6"/>
    <col min="8708" max="8708" width="35.5703125" style="6" customWidth="1"/>
    <col min="8709" max="8709" width="23" style="6" customWidth="1"/>
    <col min="8710" max="8710" width="17.7109375" style="6" customWidth="1"/>
    <col min="8711" max="8711" width="18.42578125" style="6" customWidth="1"/>
    <col min="8712" max="8713" width="13.140625" style="6" customWidth="1"/>
    <col min="8714" max="8714" width="10.7109375" style="6" customWidth="1"/>
    <col min="8715" max="8715" width="40.85546875" style="6" customWidth="1"/>
    <col min="8716" max="8716" width="34.140625" style="6" customWidth="1"/>
    <col min="8717" max="8717" width="16" style="6" customWidth="1"/>
    <col min="8718" max="8718" width="15.7109375" style="6" customWidth="1"/>
    <col min="8719" max="8719" width="17.42578125" style="6" customWidth="1"/>
    <col min="8720" max="8720" width="10.7109375" style="6" customWidth="1"/>
    <col min="8721" max="8721" width="13" style="6" customWidth="1"/>
    <col min="8722" max="8722" width="16.7109375" style="6" customWidth="1"/>
    <col min="8723" max="8963" width="9.140625" style="6"/>
    <col min="8964" max="8964" width="35.5703125" style="6" customWidth="1"/>
    <col min="8965" max="8965" width="23" style="6" customWidth="1"/>
    <col min="8966" max="8966" width="17.7109375" style="6" customWidth="1"/>
    <col min="8967" max="8967" width="18.42578125" style="6" customWidth="1"/>
    <col min="8968" max="8969" width="13.140625" style="6" customWidth="1"/>
    <col min="8970" max="8970" width="10.7109375" style="6" customWidth="1"/>
    <col min="8971" max="8971" width="40.85546875" style="6" customWidth="1"/>
    <col min="8972" max="8972" width="34.140625" style="6" customWidth="1"/>
    <col min="8973" max="8973" width="16" style="6" customWidth="1"/>
    <col min="8974" max="8974" width="15.7109375" style="6" customWidth="1"/>
    <col min="8975" max="8975" width="17.42578125" style="6" customWidth="1"/>
    <col min="8976" max="8976" width="10.7109375" style="6" customWidth="1"/>
    <col min="8977" max="8977" width="13" style="6" customWidth="1"/>
    <col min="8978" max="8978" width="16.7109375" style="6" customWidth="1"/>
    <col min="8979" max="9219" width="9.140625" style="6"/>
    <col min="9220" max="9220" width="35.5703125" style="6" customWidth="1"/>
    <col min="9221" max="9221" width="23" style="6" customWidth="1"/>
    <col min="9222" max="9222" width="17.7109375" style="6" customWidth="1"/>
    <col min="9223" max="9223" width="18.42578125" style="6" customWidth="1"/>
    <col min="9224" max="9225" width="13.140625" style="6" customWidth="1"/>
    <col min="9226" max="9226" width="10.7109375" style="6" customWidth="1"/>
    <col min="9227" max="9227" width="40.85546875" style="6" customWidth="1"/>
    <col min="9228" max="9228" width="34.140625" style="6" customWidth="1"/>
    <col min="9229" max="9229" width="16" style="6" customWidth="1"/>
    <col min="9230" max="9230" width="15.7109375" style="6" customWidth="1"/>
    <col min="9231" max="9231" width="17.42578125" style="6" customWidth="1"/>
    <col min="9232" max="9232" width="10.7109375" style="6" customWidth="1"/>
    <col min="9233" max="9233" width="13" style="6" customWidth="1"/>
    <col min="9234" max="9234" width="16.7109375" style="6" customWidth="1"/>
    <col min="9235" max="9475" width="9.140625" style="6"/>
    <col min="9476" max="9476" width="35.5703125" style="6" customWidth="1"/>
    <col min="9477" max="9477" width="23" style="6" customWidth="1"/>
    <col min="9478" max="9478" width="17.7109375" style="6" customWidth="1"/>
    <col min="9479" max="9479" width="18.42578125" style="6" customWidth="1"/>
    <col min="9480" max="9481" width="13.140625" style="6" customWidth="1"/>
    <col min="9482" max="9482" width="10.7109375" style="6" customWidth="1"/>
    <col min="9483" max="9483" width="40.85546875" style="6" customWidth="1"/>
    <col min="9484" max="9484" width="34.140625" style="6" customWidth="1"/>
    <col min="9485" max="9485" width="16" style="6" customWidth="1"/>
    <col min="9486" max="9486" width="15.7109375" style="6" customWidth="1"/>
    <col min="9487" max="9487" width="17.42578125" style="6" customWidth="1"/>
    <col min="9488" max="9488" width="10.7109375" style="6" customWidth="1"/>
    <col min="9489" max="9489" width="13" style="6" customWidth="1"/>
    <col min="9490" max="9490" width="16.7109375" style="6" customWidth="1"/>
    <col min="9491" max="9731" width="9.140625" style="6"/>
    <col min="9732" max="9732" width="35.5703125" style="6" customWidth="1"/>
    <col min="9733" max="9733" width="23" style="6" customWidth="1"/>
    <col min="9734" max="9734" width="17.7109375" style="6" customWidth="1"/>
    <col min="9735" max="9735" width="18.42578125" style="6" customWidth="1"/>
    <col min="9736" max="9737" width="13.140625" style="6" customWidth="1"/>
    <col min="9738" max="9738" width="10.7109375" style="6" customWidth="1"/>
    <col min="9739" max="9739" width="40.85546875" style="6" customWidth="1"/>
    <col min="9740" max="9740" width="34.140625" style="6" customWidth="1"/>
    <col min="9741" max="9741" width="16" style="6" customWidth="1"/>
    <col min="9742" max="9742" width="15.7109375" style="6" customWidth="1"/>
    <col min="9743" max="9743" width="17.42578125" style="6" customWidth="1"/>
    <col min="9744" max="9744" width="10.7109375" style="6" customWidth="1"/>
    <col min="9745" max="9745" width="13" style="6" customWidth="1"/>
    <col min="9746" max="9746" width="16.7109375" style="6" customWidth="1"/>
    <col min="9747" max="9987" width="9.140625" style="6"/>
    <col min="9988" max="9988" width="35.5703125" style="6" customWidth="1"/>
    <col min="9989" max="9989" width="23" style="6" customWidth="1"/>
    <col min="9990" max="9990" width="17.7109375" style="6" customWidth="1"/>
    <col min="9991" max="9991" width="18.42578125" style="6" customWidth="1"/>
    <col min="9992" max="9993" width="13.140625" style="6" customWidth="1"/>
    <col min="9994" max="9994" width="10.7109375" style="6" customWidth="1"/>
    <col min="9995" max="9995" width="40.85546875" style="6" customWidth="1"/>
    <col min="9996" max="9996" width="34.140625" style="6" customWidth="1"/>
    <col min="9997" max="9997" width="16" style="6" customWidth="1"/>
    <col min="9998" max="9998" width="15.7109375" style="6" customWidth="1"/>
    <col min="9999" max="9999" width="17.42578125" style="6" customWidth="1"/>
    <col min="10000" max="10000" width="10.7109375" style="6" customWidth="1"/>
    <col min="10001" max="10001" width="13" style="6" customWidth="1"/>
    <col min="10002" max="10002" width="16.7109375" style="6" customWidth="1"/>
    <col min="10003" max="10243" width="9.140625" style="6"/>
    <col min="10244" max="10244" width="35.5703125" style="6" customWidth="1"/>
    <col min="10245" max="10245" width="23" style="6" customWidth="1"/>
    <col min="10246" max="10246" width="17.7109375" style="6" customWidth="1"/>
    <col min="10247" max="10247" width="18.42578125" style="6" customWidth="1"/>
    <col min="10248" max="10249" width="13.140625" style="6" customWidth="1"/>
    <col min="10250" max="10250" width="10.7109375" style="6" customWidth="1"/>
    <col min="10251" max="10251" width="40.85546875" style="6" customWidth="1"/>
    <col min="10252" max="10252" width="34.140625" style="6" customWidth="1"/>
    <col min="10253" max="10253" width="16" style="6" customWidth="1"/>
    <col min="10254" max="10254" width="15.7109375" style="6" customWidth="1"/>
    <col min="10255" max="10255" width="17.42578125" style="6" customWidth="1"/>
    <col min="10256" max="10256" width="10.7109375" style="6" customWidth="1"/>
    <col min="10257" max="10257" width="13" style="6" customWidth="1"/>
    <col min="10258" max="10258" width="16.7109375" style="6" customWidth="1"/>
    <col min="10259" max="10499" width="9.140625" style="6"/>
    <col min="10500" max="10500" width="35.5703125" style="6" customWidth="1"/>
    <col min="10501" max="10501" width="23" style="6" customWidth="1"/>
    <col min="10502" max="10502" width="17.7109375" style="6" customWidth="1"/>
    <col min="10503" max="10503" width="18.42578125" style="6" customWidth="1"/>
    <col min="10504" max="10505" width="13.140625" style="6" customWidth="1"/>
    <col min="10506" max="10506" width="10.7109375" style="6" customWidth="1"/>
    <col min="10507" max="10507" width="40.85546875" style="6" customWidth="1"/>
    <col min="10508" max="10508" width="34.140625" style="6" customWidth="1"/>
    <col min="10509" max="10509" width="16" style="6" customWidth="1"/>
    <col min="10510" max="10510" width="15.7109375" style="6" customWidth="1"/>
    <col min="10511" max="10511" width="17.42578125" style="6" customWidth="1"/>
    <col min="10512" max="10512" width="10.7109375" style="6" customWidth="1"/>
    <col min="10513" max="10513" width="13" style="6" customWidth="1"/>
    <col min="10514" max="10514" width="16.7109375" style="6" customWidth="1"/>
    <col min="10515" max="10755" width="9.140625" style="6"/>
    <col min="10756" max="10756" width="35.5703125" style="6" customWidth="1"/>
    <col min="10757" max="10757" width="23" style="6" customWidth="1"/>
    <col min="10758" max="10758" width="17.7109375" style="6" customWidth="1"/>
    <col min="10759" max="10759" width="18.42578125" style="6" customWidth="1"/>
    <col min="10760" max="10761" width="13.140625" style="6" customWidth="1"/>
    <col min="10762" max="10762" width="10.7109375" style="6" customWidth="1"/>
    <col min="10763" max="10763" width="40.85546875" style="6" customWidth="1"/>
    <col min="10764" max="10764" width="34.140625" style="6" customWidth="1"/>
    <col min="10765" max="10765" width="16" style="6" customWidth="1"/>
    <col min="10766" max="10766" width="15.7109375" style="6" customWidth="1"/>
    <col min="10767" max="10767" width="17.42578125" style="6" customWidth="1"/>
    <col min="10768" max="10768" width="10.7109375" style="6" customWidth="1"/>
    <col min="10769" max="10769" width="13" style="6" customWidth="1"/>
    <col min="10770" max="10770" width="16.7109375" style="6" customWidth="1"/>
    <col min="10771" max="11011" width="9.140625" style="6"/>
    <col min="11012" max="11012" width="35.5703125" style="6" customWidth="1"/>
    <col min="11013" max="11013" width="23" style="6" customWidth="1"/>
    <col min="11014" max="11014" width="17.7109375" style="6" customWidth="1"/>
    <col min="11015" max="11015" width="18.42578125" style="6" customWidth="1"/>
    <col min="11016" max="11017" width="13.140625" style="6" customWidth="1"/>
    <col min="11018" max="11018" width="10.7109375" style="6" customWidth="1"/>
    <col min="11019" max="11019" width="40.85546875" style="6" customWidth="1"/>
    <col min="11020" max="11020" width="34.140625" style="6" customWidth="1"/>
    <col min="11021" max="11021" width="16" style="6" customWidth="1"/>
    <col min="11022" max="11022" width="15.7109375" style="6" customWidth="1"/>
    <col min="11023" max="11023" width="17.42578125" style="6" customWidth="1"/>
    <col min="11024" max="11024" width="10.7109375" style="6" customWidth="1"/>
    <col min="11025" max="11025" width="13" style="6" customWidth="1"/>
    <col min="11026" max="11026" width="16.7109375" style="6" customWidth="1"/>
    <col min="11027" max="11267" width="9.140625" style="6"/>
    <col min="11268" max="11268" width="35.5703125" style="6" customWidth="1"/>
    <col min="11269" max="11269" width="23" style="6" customWidth="1"/>
    <col min="11270" max="11270" width="17.7109375" style="6" customWidth="1"/>
    <col min="11271" max="11271" width="18.42578125" style="6" customWidth="1"/>
    <col min="11272" max="11273" width="13.140625" style="6" customWidth="1"/>
    <col min="11274" max="11274" width="10.7109375" style="6" customWidth="1"/>
    <col min="11275" max="11275" width="40.85546875" style="6" customWidth="1"/>
    <col min="11276" max="11276" width="34.140625" style="6" customWidth="1"/>
    <col min="11277" max="11277" width="16" style="6" customWidth="1"/>
    <col min="11278" max="11278" width="15.7109375" style="6" customWidth="1"/>
    <col min="11279" max="11279" width="17.42578125" style="6" customWidth="1"/>
    <col min="11280" max="11280" width="10.7109375" style="6" customWidth="1"/>
    <col min="11281" max="11281" width="13" style="6" customWidth="1"/>
    <col min="11282" max="11282" width="16.7109375" style="6" customWidth="1"/>
    <col min="11283" max="11523" width="9.140625" style="6"/>
    <col min="11524" max="11524" width="35.5703125" style="6" customWidth="1"/>
    <col min="11525" max="11525" width="23" style="6" customWidth="1"/>
    <col min="11526" max="11526" width="17.7109375" style="6" customWidth="1"/>
    <col min="11527" max="11527" width="18.42578125" style="6" customWidth="1"/>
    <col min="11528" max="11529" width="13.140625" style="6" customWidth="1"/>
    <col min="11530" max="11530" width="10.7109375" style="6" customWidth="1"/>
    <col min="11531" max="11531" width="40.85546875" style="6" customWidth="1"/>
    <col min="11532" max="11532" width="34.140625" style="6" customWidth="1"/>
    <col min="11533" max="11533" width="16" style="6" customWidth="1"/>
    <col min="11534" max="11534" width="15.7109375" style="6" customWidth="1"/>
    <col min="11535" max="11535" width="17.42578125" style="6" customWidth="1"/>
    <col min="11536" max="11536" width="10.7109375" style="6" customWidth="1"/>
    <col min="11537" max="11537" width="13" style="6" customWidth="1"/>
    <col min="11538" max="11538" width="16.7109375" style="6" customWidth="1"/>
    <col min="11539" max="11779" width="9.140625" style="6"/>
    <col min="11780" max="11780" width="35.5703125" style="6" customWidth="1"/>
    <col min="11781" max="11781" width="23" style="6" customWidth="1"/>
    <col min="11782" max="11782" width="17.7109375" style="6" customWidth="1"/>
    <col min="11783" max="11783" width="18.42578125" style="6" customWidth="1"/>
    <col min="11784" max="11785" width="13.140625" style="6" customWidth="1"/>
    <col min="11786" max="11786" width="10.7109375" style="6" customWidth="1"/>
    <col min="11787" max="11787" width="40.85546875" style="6" customWidth="1"/>
    <col min="11788" max="11788" width="34.140625" style="6" customWidth="1"/>
    <col min="11789" max="11789" width="16" style="6" customWidth="1"/>
    <col min="11790" max="11790" width="15.7109375" style="6" customWidth="1"/>
    <col min="11791" max="11791" width="17.42578125" style="6" customWidth="1"/>
    <col min="11792" max="11792" width="10.7109375" style="6" customWidth="1"/>
    <col min="11793" max="11793" width="13" style="6" customWidth="1"/>
    <col min="11794" max="11794" width="16.7109375" style="6" customWidth="1"/>
    <col min="11795" max="12035" width="9.140625" style="6"/>
    <col min="12036" max="12036" width="35.5703125" style="6" customWidth="1"/>
    <col min="12037" max="12037" width="23" style="6" customWidth="1"/>
    <col min="12038" max="12038" width="17.7109375" style="6" customWidth="1"/>
    <col min="12039" max="12039" width="18.42578125" style="6" customWidth="1"/>
    <col min="12040" max="12041" width="13.140625" style="6" customWidth="1"/>
    <col min="12042" max="12042" width="10.7109375" style="6" customWidth="1"/>
    <col min="12043" max="12043" width="40.85546875" style="6" customWidth="1"/>
    <col min="12044" max="12044" width="34.140625" style="6" customWidth="1"/>
    <col min="12045" max="12045" width="16" style="6" customWidth="1"/>
    <col min="12046" max="12046" width="15.7109375" style="6" customWidth="1"/>
    <col min="12047" max="12047" width="17.42578125" style="6" customWidth="1"/>
    <col min="12048" max="12048" width="10.7109375" style="6" customWidth="1"/>
    <col min="12049" max="12049" width="13" style="6" customWidth="1"/>
    <col min="12050" max="12050" width="16.7109375" style="6" customWidth="1"/>
    <col min="12051" max="12291" width="9.140625" style="6"/>
    <col min="12292" max="12292" width="35.5703125" style="6" customWidth="1"/>
    <col min="12293" max="12293" width="23" style="6" customWidth="1"/>
    <col min="12294" max="12294" width="17.7109375" style="6" customWidth="1"/>
    <col min="12295" max="12295" width="18.42578125" style="6" customWidth="1"/>
    <col min="12296" max="12297" width="13.140625" style="6" customWidth="1"/>
    <col min="12298" max="12298" width="10.7109375" style="6" customWidth="1"/>
    <col min="12299" max="12299" width="40.85546875" style="6" customWidth="1"/>
    <col min="12300" max="12300" width="34.140625" style="6" customWidth="1"/>
    <col min="12301" max="12301" width="16" style="6" customWidth="1"/>
    <col min="12302" max="12302" width="15.7109375" style="6" customWidth="1"/>
    <col min="12303" max="12303" width="17.42578125" style="6" customWidth="1"/>
    <col min="12304" max="12304" width="10.7109375" style="6" customWidth="1"/>
    <col min="12305" max="12305" width="13" style="6" customWidth="1"/>
    <col min="12306" max="12306" width="16.7109375" style="6" customWidth="1"/>
    <col min="12307" max="12547" width="9.140625" style="6"/>
    <col min="12548" max="12548" width="35.5703125" style="6" customWidth="1"/>
    <col min="12549" max="12549" width="23" style="6" customWidth="1"/>
    <col min="12550" max="12550" width="17.7109375" style="6" customWidth="1"/>
    <col min="12551" max="12551" width="18.42578125" style="6" customWidth="1"/>
    <col min="12552" max="12553" width="13.140625" style="6" customWidth="1"/>
    <col min="12554" max="12554" width="10.7109375" style="6" customWidth="1"/>
    <col min="12555" max="12555" width="40.85546875" style="6" customWidth="1"/>
    <col min="12556" max="12556" width="34.140625" style="6" customWidth="1"/>
    <col min="12557" max="12557" width="16" style="6" customWidth="1"/>
    <col min="12558" max="12558" width="15.7109375" style="6" customWidth="1"/>
    <col min="12559" max="12559" width="17.42578125" style="6" customWidth="1"/>
    <col min="12560" max="12560" width="10.7109375" style="6" customWidth="1"/>
    <col min="12561" max="12561" width="13" style="6" customWidth="1"/>
    <col min="12562" max="12562" width="16.7109375" style="6" customWidth="1"/>
    <col min="12563" max="12803" width="9.140625" style="6"/>
    <col min="12804" max="12804" width="35.5703125" style="6" customWidth="1"/>
    <col min="12805" max="12805" width="23" style="6" customWidth="1"/>
    <col min="12806" max="12806" width="17.7109375" style="6" customWidth="1"/>
    <col min="12807" max="12807" width="18.42578125" style="6" customWidth="1"/>
    <col min="12808" max="12809" width="13.140625" style="6" customWidth="1"/>
    <col min="12810" max="12810" width="10.7109375" style="6" customWidth="1"/>
    <col min="12811" max="12811" width="40.85546875" style="6" customWidth="1"/>
    <col min="12812" max="12812" width="34.140625" style="6" customWidth="1"/>
    <col min="12813" max="12813" width="16" style="6" customWidth="1"/>
    <col min="12814" max="12814" width="15.7109375" style="6" customWidth="1"/>
    <col min="12815" max="12815" width="17.42578125" style="6" customWidth="1"/>
    <col min="12816" max="12816" width="10.7109375" style="6" customWidth="1"/>
    <col min="12817" max="12817" width="13" style="6" customWidth="1"/>
    <col min="12818" max="12818" width="16.7109375" style="6" customWidth="1"/>
    <col min="12819" max="13059" width="9.140625" style="6"/>
    <col min="13060" max="13060" width="35.5703125" style="6" customWidth="1"/>
    <col min="13061" max="13061" width="23" style="6" customWidth="1"/>
    <col min="13062" max="13062" width="17.7109375" style="6" customWidth="1"/>
    <col min="13063" max="13063" width="18.42578125" style="6" customWidth="1"/>
    <col min="13064" max="13065" width="13.140625" style="6" customWidth="1"/>
    <col min="13066" max="13066" width="10.7109375" style="6" customWidth="1"/>
    <col min="13067" max="13067" width="40.85546875" style="6" customWidth="1"/>
    <col min="13068" max="13068" width="34.140625" style="6" customWidth="1"/>
    <col min="13069" max="13069" width="16" style="6" customWidth="1"/>
    <col min="13070" max="13070" width="15.7109375" style="6" customWidth="1"/>
    <col min="13071" max="13071" width="17.42578125" style="6" customWidth="1"/>
    <col min="13072" max="13072" width="10.7109375" style="6" customWidth="1"/>
    <col min="13073" max="13073" width="13" style="6" customWidth="1"/>
    <col min="13074" max="13074" width="16.7109375" style="6" customWidth="1"/>
    <col min="13075" max="13315" width="9.140625" style="6"/>
    <col min="13316" max="13316" width="35.5703125" style="6" customWidth="1"/>
    <col min="13317" max="13317" width="23" style="6" customWidth="1"/>
    <col min="13318" max="13318" width="17.7109375" style="6" customWidth="1"/>
    <col min="13319" max="13319" width="18.42578125" style="6" customWidth="1"/>
    <col min="13320" max="13321" width="13.140625" style="6" customWidth="1"/>
    <col min="13322" max="13322" width="10.7109375" style="6" customWidth="1"/>
    <col min="13323" max="13323" width="40.85546875" style="6" customWidth="1"/>
    <col min="13324" max="13324" width="34.140625" style="6" customWidth="1"/>
    <col min="13325" max="13325" width="16" style="6" customWidth="1"/>
    <col min="13326" max="13326" width="15.7109375" style="6" customWidth="1"/>
    <col min="13327" max="13327" width="17.42578125" style="6" customWidth="1"/>
    <col min="13328" max="13328" width="10.7109375" style="6" customWidth="1"/>
    <col min="13329" max="13329" width="13" style="6" customWidth="1"/>
    <col min="13330" max="13330" width="16.7109375" style="6" customWidth="1"/>
    <col min="13331" max="13571" width="9.140625" style="6"/>
    <col min="13572" max="13572" width="35.5703125" style="6" customWidth="1"/>
    <col min="13573" max="13573" width="23" style="6" customWidth="1"/>
    <col min="13574" max="13574" width="17.7109375" style="6" customWidth="1"/>
    <col min="13575" max="13575" width="18.42578125" style="6" customWidth="1"/>
    <col min="13576" max="13577" width="13.140625" style="6" customWidth="1"/>
    <col min="13578" max="13578" width="10.7109375" style="6" customWidth="1"/>
    <col min="13579" max="13579" width="40.85546875" style="6" customWidth="1"/>
    <col min="13580" max="13580" width="34.140625" style="6" customWidth="1"/>
    <col min="13581" max="13581" width="16" style="6" customWidth="1"/>
    <col min="13582" max="13582" width="15.7109375" style="6" customWidth="1"/>
    <col min="13583" max="13583" width="17.42578125" style="6" customWidth="1"/>
    <col min="13584" max="13584" width="10.7109375" style="6" customWidth="1"/>
    <col min="13585" max="13585" width="13" style="6" customWidth="1"/>
    <col min="13586" max="13586" width="16.7109375" style="6" customWidth="1"/>
    <col min="13587" max="13827" width="9.140625" style="6"/>
    <col min="13828" max="13828" width="35.5703125" style="6" customWidth="1"/>
    <col min="13829" max="13829" width="23" style="6" customWidth="1"/>
    <col min="13830" max="13830" width="17.7109375" style="6" customWidth="1"/>
    <col min="13831" max="13831" width="18.42578125" style="6" customWidth="1"/>
    <col min="13832" max="13833" width="13.140625" style="6" customWidth="1"/>
    <col min="13834" max="13834" width="10.7109375" style="6" customWidth="1"/>
    <col min="13835" max="13835" width="40.85546875" style="6" customWidth="1"/>
    <col min="13836" max="13836" width="34.140625" style="6" customWidth="1"/>
    <col min="13837" max="13837" width="16" style="6" customWidth="1"/>
    <col min="13838" max="13838" width="15.7109375" style="6" customWidth="1"/>
    <col min="13839" max="13839" width="17.42578125" style="6" customWidth="1"/>
    <col min="13840" max="13840" width="10.7109375" style="6" customWidth="1"/>
    <col min="13841" max="13841" width="13" style="6" customWidth="1"/>
    <col min="13842" max="13842" width="16.7109375" style="6" customWidth="1"/>
    <col min="13843" max="14083" width="9.140625" style="6"/>
    <col min="14084" max="14084" width="35.5703125" style="6" customWidth="1"/>
    <col min="14085" max="14085" width="23" style="6" customWidth="1"/>
    <col min="14086" max="14086" width="17.7109375" style="6" customWidth="1"/>
    <col min="14087" max="14087" width="18.42578125" style="6" customWidth="1"/>
    <col min="14088" max="14089" width="13.140625" style="6" customWidth="1"/>
    <col min="14090" max="14090" width="10.7109375" style="6" customWidth="1"/>
    <col min="14091" max="14091" width="40.85546875" style="6" customWidth="1"/>
    <col min="14092" max="14092" width="34.140625" style="6" customWidth="1"/>
    <col min="14093" max="14093" width="16" style="6" customWidth="1"/>
    <col min="14094" max="14094" width="15.7109375" style="6" customWidth="1"/>
    <col min="14095" max="14095" width="17.42578125" style="6" customWidth="1"/>
    <col min="14096" max="14096" width="10.7109375" style="6" customWidth="1"/>
    <col min="14097" max="14097" width="13" style="6" customWidth="1"/>
    <col min="14098" max="14098" width="16.7109375" style="6" customWidth="1"/>
    <col min="14099" max="14339" width="9.140625" style="6"/>
    <col min="14340" max="14340" width="35.5703125" style="6" customWidth="1"/>
    <col min="14341" max="14341" width="23" style="6" customWidth="1"/>
    <col min="14342" max="14342" width="17.7109375" style="6" customWidth="1"/>
    <col min="14343" max="14343" width="18.42578125" style="6" customWidth="1"/>
    <col min="14344" max="14345" width="13.140625" style="6" customWidth="1"/>
    <col min="14346" max="14346" width="10.7109375" style="6" customWidth="1"/>
    <col min="14347" max="14347" width="40.85546875" style="6" customWidth="1"/>
    <col min="14348" max="14348" width="34.140625" style="6" customWidth="1"/>
    <col min="14349" max="14349" width="16" style="6" customWidth="1"/>
    <col min="14350" max="14350" width="15.7109375" style="6" customWidth="1"/>
    <col min="14351" max="14351" width="17.42578125" style="6" customWidth="1"/>
    <col min="14352" max="14352" width="10.7109375" style="6" customWidth="1"/>
    <col min="14353" max="14353" width="13" style="6" customWidth="1"/>
    <col min="14354" max="14354" width="16.7109375" style="6" customWidth="1"/>
    <col min="14355" max="14595" width="9.140625" style="6"/>
    <col min="14596" max="14596" width="35.5703125" style="6" customWidth="1"/>
    <col min="14597" max="14597" width="23" style="6" customWidth="1"/>
    <col min="14598" max="14598" width="17.7109375" style="6" customWidth="1"/>
    <col min="14599" max="14599" width="18.42578125" style="6" customWidth="1"/>
    <col min="14600" max="14601" width="13.140625" style="6" customWidth="1"/>
    <col min="14602" max="14602" width="10.7109375" style="6" customWidth="1"/>
    <col min="14603" max="14603" width="40.85546875" style="6" customWidth="1"/>
    <col min="14604" max="14604" width="34.140625" style="6" customWidth="1"/>
    <col min="14605" max="14605" width="16" style="6" customWidth="1"/>
    <col min="14606" max="14606" width="15.7109375" style="6" customWidth="1"/>
    <col min="14607" max="14607" width="17.42578125" style="6" customWidth="1"/>
    <col min="14608" max="14608" width="10.7109375" style="6" customWidth="1"/>
    <col min="14609" max="14609" width="13" style="6" customWidth="1"/>
    <col min="14610" max="14610" width="16.7109375" style="6" customWidth="1"/>
    <col min="14611" max="14851" width="9.140625" style="6"/>
    <col min="14852" max="14852" width="35.5703125" style="6" customWidth="1"/>
    <col min="14853" max="14853" width="23" style="6" customWidth="1"/>
    <col min="14854" max="14854" width="17.7109375" style="6" customWidth="1"/>
    <col min="14855" max="14855" width="18.42578125" style="6" customWidth="1"/>
    <col min="14856" max="14857" width="13.140625" style="6" customWidth="1"/>
    <col min="14858" max="14858" width="10.7109375" style="6" customWidth="1"/>
    <col min="14859" max="14859" width="40.85546875" style="6" customWidth="1"/>
    <col min="14860" max="14860" width="34.140625" style="6" customWidth="1"/>
    <col min="14861" max="14861" width="16" style="6" customWidth="1"/>
    <col min="14862" max="14862" width="15.7109375" style="6" customWidth="1"/>
    <col min="14863" max="14863" width="17.42578125" style="6" customWidth="1"/>
    <col min="14864" max="14864" width="10.7109375" style="6" customWidth="1"/>
    <col min="14865" max="14865" width="13" style="6" customWidth="1"/>
    <col min="14866" max="14866" width="16.7109375" style="6" customWidth="1"/>
    <col min="14867" max="15107" width="9.140625" style="6"/>
    <col min="15108" max="15108" width="35.5703125" style="6" customWidth="1"/>
    <col min="15109" max="15109" width="23" style="6" customWidth="1"/>
    <col min="15110" max="15110" width="17.7109375" style="6" customWidth="1"/>
    <col min="15111" max="15111" width="18.42578125" style="6" customWidth="1"/>
    <col min="15112" max="15113" width="13.140625" style="6" customWidth="1"/>
    <col min="15114" max="15114" width="10.7109375" style="6" customWidth="1"/>
    <col min="15115" max="15115" width="40.85546875" style="6" customWidth="1"/>
    <col min="15116" max="15116" width="34.140625" style="6" customWidth="1"/>
    <col min="15117" max="15117" width="16" style="6" customWidth="1"/>
    <col min="15118" max="15118" width="15.7109375" style="6" customWidth="1"/>
    <col min="15119" max="15119" width="17.42578125" style="6" customWidth="1"/>
    <col min="15120" max="15120" width="10.7109375" style="6" customWidth="1"/>
    <col min="15121" max="15121" width="13" style="6" customWidth="1"/>
    <col min="15122" max="15122" width="16.7109375" style="6" customWidth="1"/>
    <col min="15123" max="15363" width="9.140625" style="6"/>
    <col min="15364" max="15364" width="35.5703125" style="6" customWidth="1"/>
    <col min="15365" max="15365" width="23" style="6" customWidth="1"/>
    <col min="15366" max="15366" width="17.7109375" style="6" customWidth="1"/>
    <col min="15367" max="15367" width="18.42578125" style="6" customWidth="1"/>
    <col min="15368" max="15369" width="13.140625" style="6" customWidth="1"/>
    <col min="15370" max="15370" width="10.7109375" style="6" customWidth="1"/>
    <col min="15371" max="15371" width="40.85546875" style="6" customWidth="1"/>
    <col min="15372" max="15372" width="34.140625" style="6" customWidth="1"/>
    <col min="15373" max="15373" width="16" style="6" customWidth="1"/>
    <col min="15374" max="15374" width="15.7109375" style="6" customWidth="1"/>
    <col min="15375" max="15375" width="17.42578125" style="6" customWidth="1"/>
    <col min="15376" max="15376" width="10.7109375" style="6" customWidth="1"/>
    <col min="15377" max="15377" width="13" style="6" customWidth="1"/>
    <col min="15378" max="15378" width="16.7109375" style="6" customWidth="1"/>
    <col min="15379" max="15619" width="9.140625" style="6"/>
    <col min="15620" max="15620" width="35.5703125" style="6" customWidth="1"/>
    <col min="15621" max="15621" width="23" style="6" customWidth="1"/>
    <col min="15622" max="15622" width="17.7109375" style="6" customWidth="1"/>
    <col min="15623" max="15623" width="18.42578125" style="6" customWidth="1"/>
    <col min="15624" max="15625" width="13.140625" style="6" customWidth="1"/>
    <col min="15626" max="15626" width="10.7109375" style="6" customWidth="1"/>
    <col min="15627" max="15627" width="40.85546875" style="6" customWidth="1"/>
    <col min="15628" max="15628" width="34.140625" style="6" customWidth="1"/>
    <col min="15629" max="15629" width="16" style="6" customWidth="1"/>
    <col min="15630" max="15630" width="15.7109375" style="6" customWidth="1"/>
    <col min="15631" max="15631" width="17.42578125" style="6" customWidth="1"/>
    <col min="15632" max="15632" width="10.7109375" style="6" customWidth="1"/>
    <col min="15633" max="15633" width="13" style="6" customWidth="1"/>
    <col min="15634" max="15634" width="16.7109375" style="6" customWidth="1"/>
    <col min="15635" max="15875" width="9.140625" style="6"/>
    <col min="15876" max="15876" width="35.5703125" style="6" customWidth="1"/>
    <col min="15877" max="15877" width="23" style="6" customWidth="1"/>
    <col min="15878" max="15878" width="17.7109375" style="6" customWidth="1"/>
    <col min="15879" max="15879" width="18.42578125" style="6" customWidth="1"/>
    <col min="15880" max="15881" width="13.140625" style="6" customWidth="1"/>
    <col min="15882" max="15882" width="10.7109375" style="6" customWidth="1"/>
    <col min="15883" max="15883" width="40.85546875" style="6" customWidth="1"/>
    <col min="15884" max="15884" width="34.140625" style="6" customWidth="1"/>
    <col min="15885" max="15885" width="16" style="6" customWidth="1"/>
    <col min="15886" max="15886" width="15.7109375" style="6" customWidth="1"/>
    <col min="15887" max="15887" width="17.42578125" style="6" customWidth="1"/>
    <col min="15888" max="15888" width="10.7109375" style="6" customWidth="1"/>
    <col min="15889" max="15889" width="13" style="6" customWidth="1"/>
    <col min="15890" max="15890" width="16.7109375" style="6" customWidth="1"/>
    <col min="15891" max="16131" width="9.140625" style="6"/>
    <col min="16132" max="16132" width="35.5703125" style="6" customWidth="1"/>
    <col min="16133" max="16133" width="23" style="6" customWidth="1"/>
    <col min="16134" max="16134" width="17.7109375" style="6" customWidth="1"/>
    <col min="16135" max="16135" width="18.42578125" style="6" customWidth="1"/>
    <col min="16136" max="16137" width="13.140625" style="6" customWidth="1"/>
    <col min="16138" max="16138" width="10.7109375" style="6" customWidth="1"/>
    <col min="16139" max="16139" width="40.85546875" style="6" customWidth="1"/>
    <col min="16140" max="16140" width="34.140625" style="6" customWidth="1"/>
    <col min="16141" max="16141" width="16" style="6" customWidth="1"/>
    <col min="16142" max="16142" width="15.7109375" style="6" customWidth="1"/>
    <col min="16143" max="16143" width="17.42578125" style="6" customWidth="1"/>
    <col min="16144" max="16144" width="10.7109375" style="6" customWidth="1"/>
    <col min="16145" max="16145" width="13" style="6" customWidth="1"/>
    <col min="16146" max="16146" width="16.7109375" style="6" customWidth="1"/>
    <col min="16147" max="16384" width="9.140625" style="6"/>
  </cols>
  <sheetData>
    <row r="1" spans="1:31" s="9" customFormat="1" ht="41.25" customHeight="1" x14ac:dyDescent="0.3">
      <c r="A1" s="562" t="s">
        <v>69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214"/>
    </row>
    <row r="2" spans="1:31" s="9" customFormat="1" ht="24" customHeight="1" x14ac:dyDescent="0.3">
      <c r="A2" s="568" t="s">
        <v>358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214"/>
    </row>
    <row r="3" spans="1:31" ht="23.25" customHeigh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31" s="11" customFormat="1" ht="65.25" customHeight="1" x14ac:dyDescent="0.4">
      <c r="A4" s="563" t="s">
        <v>52</v>
      </c>
      <c r="B4" s="556" t="s">
        <v>53</v>
      </c>
      <c r="C4" s="556"/>
      <c r="D4" s="146" t="s">
        <v>356</v>
      </c>
      <c r="E4" s="146" t="s">
        <v>357</v>
      </c>
      <c r="F4" s="146" t="s">
        <v>58</v>
      </c>
      <c r="G4" s="219"/>
      <c r="H4" s="219"/>
      <c r="I4" s="42"/>
      <c r="J4" s="563" t="s">
        <v>52</v>
      </c>
      <c r="K4" s="556" t="s">
        <v>54</v>
      </c>
      <c r="L4" s="556"/>
      <c r="M4" s="146" t="s">
        <v>356</v>
      </c>
      <c r="N4" s="146" t="s">
        <v>357</v>
      </c>
      <c r="O4" s="146" t="s">
        <v>201</v>
      </c>
      <c r="P4" s="214"/>
      <c r="Q4" s="310"/>
      <c r="T4" s="236"/>
      <c r="U4" s="227"/>
      <c r="V4" s="227"/>
      <c r="W4" s="227"/>
      <c r="X4" s="227"/>
      <c r="Y4" s="227"/>
      <c r="Z4" s="227"/>
      <c r="AA4" s="227"/>
      <c r="AB4" s="227"/>
      <c r="AC4" s="227"/>
    </row>
    <row r="5" spans="1:31" s="11" customFormat="1" ht="37.9" customHeight="1" x14ac:dyDescent="0.3">
      <c r="A5" s="563"/>
      <c r="B5" s="564" t="s">
        <v>359</v>
      </c>
      <c r="C5" s="564"/>
      <c r="D5" s="60">
        <f>'Anexo 1. Fontes e Aplicações'!C12</f>
        <v>3268905.76</v>
      </c>
      <c r="E5" s="60">
        <f>'Anexo 1. Fontes e Aplicações'!F12</f>
        <v>3413078.04</v>
      </c>
      <c r="F5" s="61">
        <f>IFERROR(E5/D5*100-100,0)</f>
        <v>4.4104140830294227</v>
      </c>
      <c r="G5" s="220" t="b">
        <f>D5=[2]FORM.3!$E$5</f>
        <v>1</v>
      </c>
      <c r="H5" s="238"/>
      <c r="I5" s="45"/>
      <c r="J5" s="563"/>
      <c r="K5" s="565" t="s">
        <v>75</v>
      </c>
      <c r="L5" s="565"/>
      <c r="M5" s="57">
        <v>1433305.49</v>
      </c>
      <c r="N5" s="57">
        <v>1433305.48</v>
      </c>
      <c r="O5" s="46">
        <f>IFERROR(N5/M5*100-100,0)</f>
        <v>-6.9768798027780576E-7</v>
      </c>
      <c r="P5" s="214" t="b">
        <f>M5=[2]FORM.3!$L$5</f>
        <v>1</v>
      </c>
      <c r="Q5" s="240"/>
      <c r="R5" s="7"/>
      <c r="S5" s="7"/>
      <c r="T5" s="519"/>
      <c r="U5" s="520"/>
      <c r="V5" s="520"/>
      <c r="W5" s="520"/>
      <c r="X5" s="520"/>
      <c r="Y5" s="520"/>
      <c r="Z5" s="520"/>
      <c r="AA5" s="520"/>
      <c r="AB5" s="520"/>
      <c r="AC5" s="520"/>
    </row>
    <row r="6" spans="1:31" s="11" customFormat="1" ht="38.450000000000003" customHeight="1" x14ac:dyDescent="0.3">
      <c r="A6" s="563"/>
      <c r="B6" s="566" t="s">
        <v>55</v>
      </c>
      <c r="C6" s="566"/>
      <c r="D6" s="60">
        <f>'Anexo 1. Fontes e Aplicações'!C24</f>
        <v>0</v>
      </c>
      <c r="E6" s="60">
        <f>'Anexo 1. Fontes e Aplicações'!F24</f>
        <v>0</v>
      </c>
      <c r="F6" s="61">
        <f>IFERROR(E6/D6*100-100,0)</f>
        <v>0</v>
      </c>
      <c r="G6" s="220" t="b">
        <f>D6=[2]FORM.3!$E$6</f>
        <v>1</v>
      </c>
      <c r="H6" s="220"/>
      <c r="I6" s="45"/>
      <c r="J6" s="563"/>
      <c r="K6" s="565" t="s">
        <v>70</v>
      </c>
      <c r="L6" s="565"/>
      <c r="M6" s="47">
        <v>150408</v>
      </c>
      <c r="N6" s="311">
        <v>150408</v>
      </c>
      <c r="O6" s="46">
        <f t="shared" ref="O6:O7" si="0">IFERROR(N6/M6*100-100,0)</f>
        <v>0</v>
      </c>
      <c r="P6" s="214" t="b">
        <f>M6=[2]FORM.3!$L$6</f>
        <v>1</v>
      </c>
      <c r="Q6" s="9"/>
      <c r="T6" s="519"/>
      <c r="U6" s="520"/>
      <c r="V6" s="520"/>
      <c r="W6" s="520"/>
      <c r="X6" s="520"/>
      <c r="Y6" s="520"/>
      <c r="Z6" s="520"/>
      <c r="AA6" s="520"/>
      <c r="AB6" s="520"/>
      <c r="AC6" s="520"/>
    </row>
    <row r="7" spans="1:31" s="11" customFormat="1" ht="39" customHeight="1" x14ac:dyDescent="0.3">
      <c r="A7" s="563"/>
      <c r="B7" s="567" t="s">
        <v>71</v>
      </c>
      <c r="C7" s="567"/>
      <c r="D7" s="147">
        <f>SUM(D5:D6)</f>
        <v>3268905.76</v>
      </c>
      <c r="E7" s="147">
        <f>SUM(E5:E6)</f>
        <v>3413078.04</v>
      </c>
      <c r="F7" s="148">
        <f>IFERROR(E7/D7*100-100,0)</f>
        <v>4.4104140830294227</v>
      </c>
      <c r="G7" s="220" t="b">
        <f>D7=[2]FORM.3!$E$7</f>
        <v>1</v>
      </c>
      <c r="H7" s="220"/>
      <c r="I7" s="45"/>
      <c r="J7" s="563"/>
      <c r="K7" s="565" t="s">
        <v>72</v>
      </c>
      <c r="L7" s="565"/>
      <c r="M7" s="48">
        <f>'Anexo 1. Fontes e Aplicações'!C11</f>
        <v>3309248.67</v>
      </c>
      <c r="N7" s="48">
        <f>'Anexo 1. Fontes e Aplicações'!F11</f>
        <v>3461693.68</v>
      </c>
      <c r="O7" s="46">
        <f t="shared" si="0"/>
        <v>4.6066350764749444</v>
      </c>
      <c r="P7" s="214" t="b">
        <f>M7=[2]FORM.3!$L$7</f>
        <v>1</v>
      </c>
      <c r="Q7" s="243"/>
      <c r="T7" s="519"/>
      <c r="U7" s="520"/>
      <c r="V7" s="520"/>
      <c r="W7" s="520"/>
      <c r="X7" s="520"/>
      <c r="Y7" s="520"/>
      <c r="Z7" s="520"/>
      <c r="AA7" s="520"/>
      <c r="AB7" s="520"/>
      <c r="AC7" s="520"/>
    </row>
    <row r="8" spans="1:31" s="11" customFormat="1" ht="38.25" customHeight="1" x14ac:dyDescent="0.25">
      <c r="A8" s="563"/>
      <c r="B8" s="566" t="s">
        <v>73</v>
      </c>
      <c r="C8" s="566"/>
      <c r="D8" s="43">
        <f>'Anexo 1. Fontes e Aplicações'!C34</f>
        <v>84981.82</v>
      </c>
      <c r="E8" s="43">
        <f>'Anexo 1. Fontes e Aplicações'!F34</f>
        <v>72887.990000000005</v>
      </c>
      <c r="F8" s="44">
        <f>IFERROR(E8/D8*100-100,0)</f>
        <v>-14.231079070794209</v>
      </c>
      <c r="G8" s="220" t="b">
        <f>D8=[2]FORM.3!$E$8</f>
        <v>1</v>
      </c>
      <c r="H8" s="238"/>
      <c r="I8" s="45"/>
      <c r="J8" s="569"/>
      <c r="K8" s="569"/>
      <c r="L8" s="42"/>
      <c r="M8" s="49" t="b">
        <f>M7='Anexo 1. Fontes e Aplicações'!C11</f>
        <v>1</v>
      </c>
      <c r="N8" s="152" t="b">
        <f>N7='Anexo 1. Fontes e Aplicações'!F11</f>
        <v>1</v>
      </c>
      <c r="O8" s="152"/>
      <c r="P8" s="215"/>
      <c r="Q8" s="152"/>
      <c r="R8" s="153"/>
    </row>
    <row r="9" spans="1:31" s="11" customFormat="1" ht="28.15" customHeight="1" x14ac:dyDescent="0.25">
      <c r="A9" s="563"/>
      <c r="B9" s="570" t="s">
        <v>87</v>
      </c>
      <c r="C9" s="570"/>
      <c r="D9" s="147">
        <f>D7-D8</f>
        <v>3183923.94</v>
      </c>
      <c r="E9" s="147">
        <f>E7-E8</f>
        <v>3340190.05</v>
      </c>
      <c r="F9" s="148">
        <f>IFERROR(E9/D9*100-100,0)</f>
        <v>4.9079724561510716</v>
      </c>
      <c r="G9" s="220" t="b">
        <f>D9=[2]FORM.3!$E$9</f>
        <v>1</v>
      </c>
      <c r="H9" s="221"/>
      <c r="I9" s="234"/>
      <c r="J9" s="52"/>
      <c r="K9" s="52"/>
      <c r="L9" s="42"/>
      <c r="M9" s="50"/>
      <c r="N9" s="53"/>
      <c r="O9" s="50"/>
      <c r="P9" s="216"/>
      <c r="Q9" s="241"/>
      <c r="R9" s="14"/>
    </row>
    <row r="10" spans="1:31" s="13" customFormat="1" x14ac:dyDescent="0.25">
      <c r="A10" s="54"/>
      <c r="B10" s="55"/>
      <c r="C10" s="55"/>
      <c r="D10" s="51"/>
      <c r="E10" s="51"/>
      <c r="F10" s="50"/>
      <c r="G10" s="221"/>
      <c r="H10" s="221"/>
      <c r="I10" s="234"/>
      <c r="J10" s="52"/>
      <c r="K10" s="52"/>
      <c r="L10" s="42"/>
      <c r="M10" s="50"/>
      <c r="N10" s="53"/>
      <c r="O10" s="50"/>
      <c r="P10" s="217"/>
      <c r="Q10" s="242"/>
      <c r="R10" s="12"/>
    </row>
    <row r="11" spans="1:31" s="11" customFormat="1" ht="50.1" customHeight="1" x14ac:dyDescent="0.25">
      <c r="A11" s="530" t="s">
        <v>79</v>
      </c>
      <c r="B11" s="556" t="s">
        <v>59</v>
      </c>
      <c r="C11" s="556"/>
      <c r="D11" s="146" t="s">
        <v>356</v>
      </c>
      <c r="E11" s="146" t="s">
        <v>357</v>
      </c>
      <c r="F11" s="146" t="s">
        <v>3</v>
      </c>
      <c r="G11" s="221"/>
      <c r="H11" s="221"/>
      <c r="I11" s="234"/>
      <c r="J11" s="556" t="s">
        <v>59</v>
      </c>
      <c r="K11" s="556"/>
      <c r="L11" s="556"/>
      <c r="M11" s="146" t="s">
        <v>356</v>
      </c>
      <c r="N11" s="146" t="s">
        <v>357</v>
      </c>
      <c r="O11" s="146" t="s">
        <v>80</v>
      </c>
      <c r="P11" s="216"/>
      <c r="Q11" s="241"/>
      <c r="R11" s="14"/>
    </row>
    <row r="12" spans="1:31" s="11" customFormat="1" ht="39" customHeight="1" x14ac:dyDescent="0.25">
      <c r="A12" s="531"/>
      <c r="B12" s="557" t="s">
        <v>363</v>
      </c>
      <c r="C12" s="56" t="s">
        <v>56</v>
      </c>
      <c r="D12" s="149">
        <v>517131.81</v>
      </c>
      <c r="E12" s="150">
        <f>'Quadro Geral'!M16+'Quadro Geral'!M32+'Quadro Geral'!M34</f>
        <v>543416.88</v>
      </c>
      <c r="F12" s="44">
        <f>IFERROR(E12/D12*100-100,)</f>
        <v>5.0828569219131907</v>
      </c>
      <c r="G12" s="220" t="b">
        <f>D12=[2]FORM.3!$E$12</f>
        <v>1</v>
      </c>
      <c r="H12" s="221"/>
      <c r="I12" s="234"/>
      <c r="J12" s="559" t="s">
        <v>370</v>
      </c>
      <c r="K12" s="559"/>
      <c r="L12" s="56" t="s">
        <v>56</v>
      </c>
      <c r="M12" s="154">
        <f>(M5-M6)</f>
        <v>1282897.49</v>
      </c>
      <c r="N12" s="155">
        <f>(N5-N6)</f>
        <v>1282897.48</v>
      </c>
      <c r="O12" s="46">
        <f>IFERROR(N12/M12*100-100,0)</f>
        <v>-7.7948550369910663E-7</v>
      </c>
      <c r="P12" s="214" t="b">
        <f>M12=[2]FORM.3!$L$12</f>
        <v>1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s="11" customFormat="1" ht="39" customHeight="1" x14ac:dyDescent="0.3">
      <c r="A13" s="531"/>
      <c r="B13" s="558"/>
      <c r="C13" s="151" t="s">
        <v>57</v>
      </c>
      <c r="D13" s="58">
        <f>IFERROR(D12/$D$9,0)</f>
        <v>0.16241964938396111</v>
      </c>
      <c r="E13" s="58">
        <f>IFERROR(E12/$E$9,0)</f>
        <v>0.16269040739163929</v>
      </c>
      <c r="F13" s="46">
        <f>(E13-D13)*100</f>
        <v>2.7075800767817348E-2</v>
      </c>
      <c r="G13" s="220" t="b">
        <f>D13=[2]FORM.3!$E$13</f>
        <v>1</v>
      </c>
      <c r="H13" s="239"/>
      <c r="I13" s="234"/>
      <c r="J13" s="559"/>
      <c r="K13" s="559"/>
      <c r="L13" s="151" t="s">
        <v>57</v>
      </c>
      <c r="M13" s="59">
        <f>IFERROR(M12/M7,)</f>
        <v>0.3876703197405833</v>
      </c>
      <c r="N13" s="59">
        <f>IFERROR(N12/N7,)</f>
        <v>0.37059820960241635</v>
      </c>
      <c r="O13" s="46">
        <f>(N13-M13)*100</f>
        <v>-1.7072110138166952</v>
      </c>
      <c r="P13" s="214" t="b">
        <f>M13=[2]FORM.3!$L$13</f>
        <v>1</v>
      </c>
      <c r="Q13" s="244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s="11" customFormat="1" ht="39" customHeight="1" x14ac:dyDescent="0.3">
      <c r="A14" s="531"/>
      <c r="B14" s="560" t="s">
        <v>364</v>
      </c>
      <c r="C14" s="56" t="s">
        <v>56</v>
      </c>
      <c r="D14" s="149">
        <v>601861.93999999994</v>
      </c>
      <c r="E14" s="149">
        <f>'Quadro Geral'!M10+'Quadro Geral'!M23+'Quadro Geral'!M29+'Quadro Geral'!M33</f>
        <v>572635.17000000004</v>
      </c>
      <c r="F14" s="44">
        <f>IFERROR(E14/D14*100-100,)</f>
        <v>-4.8560588496424799</v>
      </c>
      <c r="G14" s="220" t="b">
        <f>D14=[2]FORM.3!$E$14</f>
        <v>1</v>
      </c>
      <c r="H14" s="221"/>
      <c r="I14" s="234"/>
      <c r="J14" s="533" t="s">
        <v>371</v>
      </c>
      <c r="K14" s="534"/>
      <c r="L14" s="56" t="s">
        <v>56</v>
      </c>
      <c r="M14" s="149">
        <v>31000</v>
      </c>
      <c r="N14" s="150">
        <v>31000</v>
      </c>
      <c r="O14" s="46">
        <f>IFERROR(N14/M14*100-100,0)</f>
        <v>0</v>
      </c>
      <c r="P14" s="214" t="b">
        <f>N14=[2]FORM.3!$L$14</f>
        <v>1</v>
      </c>
      <c r="Q14" s="9"/>
    </row>
    <row r="15" spans="1:31" s="11" customFormat="1" ht="39" customHeight="1" x14ac:dyDescent="0.3">
      <c r="A15" s="531"/>
      <c r="B15" s="561"/>
      <c r="C15" s="151" t="s">
        <v>57</v>
      </c>
      <c r="D15" s="58">
        <f>IFERROR(D14/$D$9,0)</f>
        <v>0.18903150682676167</v>
      </c>
      <c r="E15" s="58">
        <f>IFERROR(E14/$E$9,0)</f>
        <v>0.17143790066675998</v>
      </c>
      <c r="F15" s="46">
        <f>(E15-D15)*100</f>
        <v>-1.7593606160001691</v>
      </c>
      <c r="G15" s="220" t="b">
        <f>D15=[2]FORM.3!$E$15</f>
        <v>1</v>
      </c>
      <c r="H15" s="239"/>
      <c r="I15" s="234"/>
      <c r="J15" s="535"/>
      <c r="K15" s="536"/>
      <c r="L15" s="151" t="s">
        <v>57</v>
      </c>
      <c r="M15" s="59">
        <f>IFERROR(M14/M5,)</f>
        <v>2.1628327119573094E-2</v>
      </c>
      <c r="N15" s="59">
        <f>IFERROR(N14/N5,)</f>
        <v>2.1628327270471332E-2</v>
      </c>
      <c r="O15" s="46">
        <f>(N15-M15)*100</f>
        <v>1.5089823834912863E-8</v>
      </c>
      <c r="P15" s="214" t="b">
        <f>N15=[2]FORM.3!$L$15</f>
        <v>0</v>
      </c>
      <c r="Q15" s="245"/>
    </row>
    <row r="16" spans="1:31" s="11" customFormat="1" ht="39" customHeight="1" x14ac:dyDescent="0.3">
      <c r="A16" s="531"/>
      <c r="B16" s="537" t="s">
        <v>365</v>
      </c>
      <c r="C16" s="56" t="s">
        <v>56</v>
      </c>
      <c r="D16" s="149">
        <v>319246.02</v>
      </c>
      <c r="E16" s="150">
        <f>'Quadro Geral'!M8+'Quadro Geral'!M22+'Quadro Geral'!M26</f>
        <v>379299.97</v>
      </c>
      <c r="F16" s="44">
        <f>IFERROR(E16/D16*100-100,)</f>
        <v>18.811182046999335</v>
      </c>
      <c r="G16" s="220" t="b">
        <f>D16=[2]FORM.3!$E$16</f>
        <v>1</v>
      </c>
      <c r="H16" s="221"/>
      <c r="I16" s="234"/>
      <c r="J16" s="9"/>
      <c r="K16" s="9"/>
      <c r="L16" s="9"/>
      <c r="M16" s="9"/>
      <c r="N16" s="9"/>
      <c r="O16" s="9"/>
      <c r="P16" s="218"/>
      <c r="Q16" s="9"/>
    </row>
    <row r="17" spans="1:17" s="11" customFormat="1" ht="39" customHeight="1" x14ac:dyDescent="0.3">
      <c r="A17" s="531"/>
      <c r="B17" s="537"/>
      <c r="C17" s="151" t="s">
        <v>57</v>
      </c>
      <c r="D17" s="58">
        <f>IFERROR(D16/$D$9,0)</f>
        <v>0.10026810502263443</v>
      </c>
      <c r="E17" s="58">
        <f>IFERROR(E16/$E$9,0)</f>
        <v>0.11355640377409064</v>
      </c>
      <c r="F17" s="46">
        <f>(E17-D17)*100</f>
        <v>1.3288298751456207</v>
      </c>
      <c r="G17" s="220" t="b">
        <f>D17=[2]FORM.3!$E$17</f>
        <v>1</v>
      </c>
      <c r="H17" s="239"/>
      <c r="I17" s="234"/>
      <c r="J17" s="538" t="s">
        <v>361</v>
      </c>
      <c r="K17" s="539"/>
      <c r="L17" s="539"/>
      <c r="M17" s="539"/>
      <c r="N17" s="539"/>
      <c r="O17" s="540"/>
      <c r="P17" s="214"/>
      <c r="Q17" s="9"/>
    </row>
    <row r="18" spans="1:17" s="11" customFormat="1" ht="39" customHeight="1" x14ac:dyDescent="0.3">
      <c r="A18" s="531"/>
      <c r="B18" s="537" t="s">
        <v>366</v>
      </c>
      <c r="C18" s="56" t="s">
        <v>56</v>
      </c>
      <c r="D18" s="149">
        <v>40000</v>
      </c>
      <c r="E18" s="150">
        <f>'Quadro Geral'!M24</f>
        <v>60621.760000000002</v>
      </c>
      <c r="F18" s="44">
        <f>IFERROR(E18/D18*100-100,)</f>
        <v>51.554399999999987</v>
      </c>
      <c r="G18" s="220" t="b">
        <f>D18=[2]FORM.3!$E$18</f>
        <v>1</v>
      </c>
      <c r="H18" s="84"/>
      <c r="I18" s="84"/>
      <c r="J18" s="541"/>
      <c r="K18" s="542"/>
      <c r="L18" s="542"/>
      <c r="M18" s="542"/>
      <c r="N18" s="542"/>
      <c r="O18" s="543"/>
      <c r="P18" s="214"/>
      <c r="Q18" s="9"/>
    </row>
    <row r="19" spans="1:17" s="11" customFormat="1" ht="39" customHeight="1" x14ac:dyDescent="0.3">
      <c r="A19" s="531"/>
      <c r="B19" s="537"/>
      <c r="C19" s="151" t="s">
        <v>57</v>
      </c>
      <c r="D19" s="58">
        <f>IFERROR(D18/$D$9,0)</f>
        <v>1.2563114180422287E-2</v>
      </c>
      <c r="E19" s="58">
        <f>IFERROR(E18/$E$9,0)</f>
        <v>1.8149194833988566E-2</v>
      </c>
      <c r="F19" s="46">
        <f>(E19-D19)*100</f>
        <v>0.55860806535662799</v>
      </c>
      <c r="G19" s="220" t="b">
        <f>D19=[2]FORM.3!$E$19</f>
        <v>1</v>
      </c>
      <c r="H19" s="239"/>
      <c r="I19" s="234"/>
      <c r="J19" s="544"/>
      <c r="K19" s="545"/>
      <c r="L19" s="545"/>
      <c r="M19" s="545"/>
      <c r="N19" s="545"/>
      <c r="O19" s="546"/>
      <c r="P19" s="214"/>
      <c r="Q19" s="9"/>
    </row>
    <row r="20" spans="1:17" s="11" customFormat="1" ht="39" customHeight="1" x14ac:dyDescent="0.3">
      <c r="A20" s="531"/>
      <c r="B20" s="537" t="s">
        <v>367</v>
      </c>
      <c r="C20" s="56" t="s">
        <v>56</v>
      </c>
      <c r="D20" s="149">
        <v>798620.97</v>
      </c>
      <c r="E20" s="149">
        <f>'Quadro Geral'!M10+'Quadro Geral'!M11+'Quadro Geral'!M14+'Quadro Geral'!M18+'Quadro Geral'!M23+'Quadro Geral'!M29+'Quadro Geral'!M33</f>
        <v>782515.96</v>
      </c>
      <c r="F20" s="44">
        <f>IFERROR(E20/D20*100-100,)</f>
        <v>-2.0166024440855779</v>
      </c>
      <c r="G20" s="220" t="b">
        <f>D20=[2]FORM.3!$E$20</f>
        <v>1</v>
      </c>
      <c r="H20" s="221"/>
      <c r="I20" s="234"/>
      <c r="J20" s="547" t="s">
        <v>362</v>
      </c>
      <c r="K20" s="548"/>
      <c r="L20" s="548"/>
      <c r="M20" s="548"/>
      <c r="N20" s="548"/>
      <c r="O20" s="549"/>
      <c r="P20" s="214"/>
      <c r="Q20" s="9"/>
    </row>
    <row r="21" spans="1:17" s="11" customFormat="1" ht="39" customHeight="1" x14ac:dyDescent="0.3">
      <c r="A21" s="531"/>
      <c r="B21" s="537"/>
      <c r="C21" s="151" t="s">
        <v>57</v>
      </c>
      <c r="D21" s="58">
        <f>IFERROR(D20/$D$9,0)</f>
        <v>0.25082916082474005</v>
      </c>
      <c r="E21" s="58">
        <f>IFERROR(E20/$E$9,0)</f>
        <v>0.23427288516113029</v>
      </c>
      <c r="F21" s="46">
        <f>(E21-D21)*100</f>
        <v>-1.6556275663609759</v>
      </c>
      <c r="G21" s="220" t="b">
        <f>D21=[2]FORM.3!$E$21</f>
        <v>1</v>
      </c>
      <c r="H21" s="239"/>
      <c r="I21" s="234"/>
      <c r="J21" s="550"/>
      <c r="K21" s="551"/>
      <c r="L21" s="551"/>
      <c r="M21" s="551"/>
      <c r="N21" s="551"/>
      <c r="O21" s="552"/>
      <c r="P21" s="214"/>
      <c r="Q21" s="9"/>
    </row>
    <row r="22" spans="1:17" s="11" customFormat="1" ht="39" customHeight="1" x14ac:dyDescent="0.3">
      <c r="A22" s="531"/>
      <c r="B22" s="537" t="s">
        <v>368</v>
      </c>
      <c r="C22" s="56" t="s">
        <v>56</v>
      </c>
      <c r="D22" s="149">
        <v>88719.84</v>
      </c>
      <c r="E22" s="150">
        <f>'Quadro Geral'!M28</f>
        <v>88719.84</v>
      </c>
      <c r="F22" s="44">
        <f>IFERROR(E22/D22*100-100,)</f>
        <v>0</v>
      </c>
      <c r="G22" s="220" t="b">
        <f>D22=[2]FORM.3!$E$22</f>
        <v>1</v>
      </c>
      <c r="H22" s="221"/>
      <c r="I22" s="234"/>
      <c r="J22" s="553"/>
      <c r="K22" s="554"/>
      <c r="L22" s="554"/>
      <c r="M22" s="554"/>
      <c r="N22" s="554"/>
      <c r="O22" s="555"/>
      <c r="P22" s="214"/>
      <c r="Q22" s="9"/>
    </row>
    <row r="23" spans="1:17" s="11" customFormat="1" ht="39" customHeight="1" x14ac:dyDescent="0.3">
      <c r="A23" s="531"/>
      <c r="B23" s="537"/>
      <c r="C23" s="151" t="s">
        <v>57</v>
      </c>
      <c r="D23" s="58">
        <f>IFERROR(D22/$D$9,0)</f>
        <v>2.7864936999719911E-2</v>
      </c>
      <c r="E23" s="58">
        <f>IFERROR(E22/$E$9,0)</f>
        <v>2.6561314976673259E-2</v>
      </c>
      <c r="F23" s="46">
        <f>(E23-D23)*100</f>
        <v>-0.13036220230466522</v>
      </c>
      <c r="G23" s="220" t="b">
        <f>D23=[2]FORM.3!$E$23</f>
        <v>1</v>
      </c>
      <c r="H23" s="239"/>
      <c r="I23" s="234"/>
      <c r="J23" s="9"/>
      <c r="K23" s="9"/>
      <c r="L23" s="9"/>
      <c r="M23" s="9"/>
      <c r="N23" s="9"/>
      <c r="O23" s="9"/>
      <c r="P23" s="214"/>
      <c r="Q23" s="9"/>
    </row>
    <row r="24" spans="1:17" s="11" customFormat="1" ht="39" customHeight="1" x14ac:dyDescent="0.3">
      <c r="A24" s="531"/>
      <c r="B24" s="537" t="s">
        <v>369</v>
      </c>
      <c r="C24" s="56" t="s">
        <v>56</v>
      </c>
      <c r="D24" s="149">
        <v>10000</v>
      </c>
      <c r="E24" s="150">
        <f>'Quadro Geral'!M35</f>
        <v>38000</v>
      </c>
      <c r="F24" s="44">
        <f>IFERROR(E24/D24*100-100,)</f>
        <v>280</v>
      </c>
      <c r="G24" s="220" t="b">
        <f>D24=[2]FORM.3!$E$24</f>
        <v>1</v>
      </c>
      <c r="H24" s="221"/>
      <c r="I24" s="234"/>
      <c r="J24" s="9"/>
      <c r="K24" s="9"/>
      <c r="L24" s="9"/>
      <c r="M24" s="9"/>
      <c r="N24" s="9"/>
      <c r="O24" s="9"/>
      <c r="P24" s="214"/>
      <c r="Q24" s="9"/>
    </row>
    <row r="25" spans="1:17" s="11" customFormat="1" ht="39" customHeight="1" x14ac:dyDescent="0.3">
      <c r="A25" s="532"/>
      <c r="B25" s="537"/>
      <c r="C25" s="151" t="s">
        <v>57</v>
      </c>
      <c r="D25" s="58">
        <f>IFERROR(D24/$D$9,0)</f>
        <v>3.1407785451055717E-3</v>
      </c>
      <c r="E25" s="58">
        <f>IFERROR(E24/$E$9,0)</f>
        <v>1.1376598166921671E-2</v>
      </c>
      <c r="F25" s="46">
        <f>(E25-D25)*100</f>
        <v>0.82358196218160984</v>
      </c>
      <c r="G25" s="220" t="b">
        <f>D25=[2]FORM.3!$E$25</f>
        <v>1</v>
      </c>
      <c r="H25" s="239"/>
      <c r="I25" s="234"/>
      <c r="J25" s="9"/>
      <c r="K25" s="9"/>
      <c r="L25" s="9"/>
      <c r="M25" s="9"/>
      <c r="N25" s="9"/>
      <c r="O25" s="9"/>
      <c r="P25" s="214"/>
      <c r="Q25" s="9"/>
    </row>
    <row r="26" spans="1:17" ht="19.5" thickBot="1" x14ac:dyDescent="0.35">
      <c r="A26" s="9"/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7" ht="27" customHeight="1" thickBot="1" x14ac:dyDescent="0.35">
      <c r="A27" s="571" t="s">
        <v>360</v>
      </c>
      <c r="B27" s="572"/>
      <c r="C27" s="572"/>
      <c r="D27" s="572"/>
      <c r="E27" s="572"/>
      <c r="F27" s="572"/>
      <c r="G27" s="572"/>
      <c r="H27" s="572"/>
      <c r="I27" s="572"/>
      <c r="J27" s="572"/>
      <c r="K27" s="572"/>
      <c r="L27" s="572"/>
      <c r="M27" s="572"/>
      <c r="N27" s="572"/>
      <c r="O27" s="573"/>
    </row>
    <row r="28" spans="1:17" x14ac:dyDescent="0.3">
      <c r="A28" s="521" t="s">
        <v>521</v>
      </c>
      <c r="B28" s="522"/>
      <c r="C28" s="522"/>
      <c r="D28" s="522"/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523"/>
    </row>
    <row r="29" spans="1:17" x14ac:dyDescent="0.3">
      <c r="A29" s="524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6"/>
    </row>
    <row r="30" spans="1:17" x14ac:dyDescent="0.3">
      <c r="A30" s="524"/>
      <c r="B30" s="525"/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6"/>
    </row>
    <row r="31" spans="1:17" x14ac:dyDescent="0.3">
      <c r="A31" s="524"/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6"/>
    </row>
    <row r="32" spans="1:17" x14ac:dyDescent="0.3">
      <c r="A32" s="524"/>
      <c r="B32" s="525"/>
      <c r="C32" s="525"/>
      <c r="D32" s="525"/>
      <c r="E32" s="525"/>
      <c r="F32" s="525"/>
      <c r="G32" s="525"/>
      <c r="H32" s="525"/>
      <c r="I32" s="525"/>
      <c r="J32" s="525"/>
      <c r="K32" s="525"/>
      <c r="L32" s="525"/>
      <c r="M32" s="525"/>
      <c r="N32" s="525"/>
      <c r="O32" s="526"/>
    </row>
    <row r="33" spans="1:15" x14ac:dyDescent="0.3">
      <c r="A33" s="524"/>
      <c r="B33" s="525"/>
      <c r="C33" s="525"/>
      <c r="D33" s="525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6"/>
    </row>
    <row r="34" spans="1:15" ht="19.5" thickBot="1" x14ac:dyDescent="0.35">
      <c r="A34" s="527"/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9"/>
    </row>
    <row r="35" spans="1:15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sheetProtection selectLockedCells="1"/>
  <mergeCells count="33">
    <mergeCell ref="A27:O27"/>
    <mergeCell ref="B22:B23"/>
    <mergeCell ref="A1:O1"/>
    <mergeCell ref="A4:A9"/>
    <mergeCell ref="B4:C4"/>
    <mergeCell ref="J4:J7"/>
    <mergeCell ref="K4:L4"/>
    <mergeCell ref="B5:C5"/>
    <mergeCell ref="K5:L5"/>
    <mergeCell ref="B6:C6"/>
    <mergeCell ref="K6:L6"/>
    <mergeCell ref="B7:C7"/>
    <mergeCell ref="K7:L7"/>
    <mergeCell ref="B8:C8"/>
    <mergeCell ref="A2:O2"/>
    <mergeCell ref="J8:K8"/>
    <mergeCell ref="B9:C9"/>
    <mergeCell ref="T5:T7"/>
    <mergeCell ref="U5:AC7"/>
    <mergeCell ref="A28:O34"/>
    <mergeCell ref="A11:A25"/>
    <mergeCell ref="J14:K15"/>
    <mergeCell ref="B16:B17"/>
    <mergeCell ref="J17:O19"/>
    <mergeCell ref="J20:O22"/>
    <mergeCell ref="B24:B25"/>
    <mergeCell ref="B11:C11"/>
    <mergeCell ref="J11:L11"/>
    <mergeCell ref="B12:B13"/>
    <mergeCell ref="J12:K13"/>
    <mergeCell ref="B14:B15"/>
    <mergeCell ref="B18:B19"/>
    <mergeCell ref="B20:B21"/>
  </mergeCells>
  <conditionalFormatting sqref="M8:N8">
    <cfRule type="cellIs" dxfId="4" priority="1" operator="equal">
      <formula>$N$8</formula>
    </cfRule>
  </conditionalFormatting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77777"/>
  </sheetPr>
  <dimension ref="A1:AE52"/>
  <sheetViews>
    <sheetView showGridLines="0" topLeftCell="A37" zoomScale="50" zoomScaleNormal="50" workbookViewId="0">
      <selection activeCell="T49" sqref="T49"/>
    </sheetView>
  </sheetViews>
  <sheetFormatPr defaultColWidth="16.42578125" defaultRowHeight="26.25" x14ac:dyDescent="0.4"/>
  <cols>
    <col min="1" max="1" width="25.28515625" style="65" customWidth="1"/>
    <col min="2" max="2" width="16.5703125" style="65" bestFit="1" customWidth="1"/>
    <col min="3" max="3" width="32.140625" style="65" customWidth="1"/>
    <col min="4" max="4" width="27.7109375" style="65" customWidth="1"/>
    <col min="5" max="5" width="5.85546875" style="65" customWidth="1"/>
    <col min="6" max="10" width="25.7109375" style="65" customWidth="1"/>
    <col min="11" max="11" width="34.140625" style="65" bestFit="1" customWidth="1"/>
    <col min="12" max="14" width="25.7109375" style="65" customWidth="1"/>
    <col min="15" max="15" width="27.7109375" style="65" customWidth="1"/>
    <col min="16" max="16" width="25.7109375" style="65" customWidth="1"/>
    <col min="17" max="17" width="27.7109375" style="65" customWidth="1"/>
    <col min="18" max="18" width="12.28515625" style="65" customWidth="1"/>
    <col min="19" max="19" width="22.85546875" style="65" hidden="1" customWidth="1"/>
    <col min="20" max="20" width="32.140625" style="65" customWidth="1"/>
    <col min="21" max="22" width="22.42578125" style="65" bestFit="1" customWidth="1"/>
    <col min="23" max="16384" width="16.42578125" style="65"/>
  </cols>
  <sheetData>
    <row r="1" spans="1:31" s="157" customFormat="1" ht="56.1" customHeight="1" x14ac:dyDescent="0.25">
      <c r="A1" s="156" t="s">
        <v>372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U1" s="158"/>
      <c r="V1" s="159"/>
    </row>
    <row r="2" spans="1:31" ht="56.1" customHeight="1" x14ac:dyDescent="0.4">
      <c r="A2" s="584" t="s">
        <v>61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U2" s="160"/>
      <c r="V2" s="194"/>
      <c r="W2" s="225"/>
      <c r="X2" s="225"/>
      <c r="Y2" s="225"/>
      <c r="Z2" s="225"/>
      <c r="AA2" s="225"/>
      <c r="AB2" s="225"/>
      <c r="AC2" s="225"/>
      <c r="AD2" s="225"/>
      <c r="AE2" s="225"/>
    </row>
    <row r="3" spans="1:31" ht="56.1" customHeight="1" x14ac:dyDescent="0.4">
      <c r="A3" s="574" t="s">
        <v>375</v>
      </c>
      <c r="B3" s="575"/>
      <c r="C3" s="575"/>
      <c r="D3" s="575"/>
      <c r="E3" s="575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7"/>
      <c r="U3" s="160"/>
      <c r="V3" s="194"/>
      <c r="W3" s="225"/>
      <c r="X3" s="225"/>
      <c r="Y3" s="225"/>
      <c r="Z3" s="225"/>
      <c r="AA3" s="225"/>
      <c r="AB3" s="225"/>
      <c r="AC3" s="225"/>
      <c r="AD3" s="225"/>
      <c r="AE3" s="225"/>
    </row>
    <row r="4" spans="1:31" x14ac:dyDescent="0.4">
      <c r="A4" s="161"/>
      <c r="B4" s="161"/>
      <c r="C4" s="161"/>
      <c r="D4" s="161"/>
      <c r="E4" s="161"/>
      <c r="F4" s="161"/>
      <c r="G4" s="161"/>
      <c r="V4" s="194"/>
      <c r="W4" s="225"/>
      <c r="X4" s="225"/>
      <c r="Y4" s="225"/>
      <c r="Z4" s="225"/>
      <c r="AA4" s="225"/>
      <c r="AB4" s="225"/>
      <c r="AC4" s="225"/>
      <c r="AD4" s="225"/>
      <c r="AE4" s="225"/>
    </row>
    <row r="5" spans="1:31" s="163" customFormat="1" ht="56.1" customHeight="1" x14ac:dyDescent="0.4">
      <c r="A5" s="578" t="s">
        <v>4</v>
      </c>
      <c r="B5" s="578" t="s">
        <v>191</v>
      </c>
      <c r="C5" s="579" t="s">
        <v>42</v>
      </c>
      <c r="D5" s="579" t="s">
        <v>330</v>
      </c>
      <c r="E5" s="162"/>
      <c r="F5" s="580" t="s">
        <v>1</v>
      </c>
      <c r="G5" s="580"/>
      <c r="H5" s="579" t="s">
        <v>43</v>
      </c>
      <c r="I5" s="581" t="s">
        <v>44</v>
      </c>
      <c r="J5" s="582"/>
      <c r="K5" s="582"/>
      <c r="L5" s="583" t="s">
        <v>178</v>
      </c>
      <c r="M5" s="600" t="s">
        <v>373</v>
      </c>
      <c r="N5" s="600" t="s">
        <v>45</v>
      </c>
      <c r="O5" s="600" t="s">
        <v>46</v>
      </c>
      <c r="P5" s="579" t="s">
        <v>2</v>
      </c>
      <c r="Q5" s="580" t="s">
        <v>0</v>
      </c>
      <c r="R5" s="580" t="s">
        <v>47</v>
      </c>
      <c r="S5" s="594"/>
      <c r="U5" s="164"/>
      <c r="V5" s="357"/>
      <c r="W5" s="357"/>
      <c r="X5" s="357"/>
      <c r="Y5" s="357"/>
      <c r="Z5" s="357"/>
      <c r="AA5" s="225"/>
      <c r="AB5" s="225"/>
      <c r="AC5" s="225"/>
      <c r="AD5" s="225"/>
      <c r="AE5" s="225"/>
    </row>
    <row r="6" spans="1:31" s="163" customFormat="1" ht="56.1" customHeight="1" x14ac:dyDescent="0.4">
      <c r="A6" s="578"/>
      <c r="B6" s="578"/>
      <c r="C6" s="579"/>
      <c r="D6" s="579"/>
      <c r="E6" s="162"/>
      <c r="F6" s="165" t="s">
        <v>74</v>
      </c>
      <c r="G6" s="165" t="s">
        <v>48</v>
      </c>
      <c r="H6" s="579"/>
      <c r="I6" s="165" t="s">
        <v>48</v>
      </c>
      <c r="J6" s="165" t="s">
        <v>49</v>
      </c>
      <c r="K6" s="165" t="s">
        <v>50</v>
      </c>
      <c r="L6" s="583"/>
      <c r="M6" s="600"/>
      <c r="N6" s="600"/>
      <c r="O6" s="600"/>
      <c r="P6" s="579"/>
      <c r="Q6" s="580"/>
      <c r="R6" s="580"/>
      <c r="S6" s="594"/>
      <c r="T6" s="246"/>
      <c r="U6" s="246"/>
      <c r="V6" s="357"/>
      <c r="W6" s="357"/>
      <c r="X6" s="357"/>
      <c r="Y6" s="357"/>
      <c r="Z6" s="357"/>
      <c r="AA6" s="246"/>
      <c r="AB6" s="246"/>
    </row>
    <row r="7" spans="1:31" ht="131.25" x14ac:dyDescent="0.4">
      <c r="A7" s="166" t="str">
        <f>'Quadro Geral'!A8</f>
        <v>Presidência</v>
      </c>
      <c r="B7" s="167">
        <f>'Quadro Geral'!D8</f>
        <v>0</v>
      </c>
      <c r="C7" s="168" t="str">
        <f>'Quadro Geral'!E8</f>
        <v>Articulação Institucional e fomento de parcerias estratégicas.</v>
      </c>
      <c r="D7" s="169">
        <f>'Quadro Geral'!M8</f>
        <v>161246.01999999999</v>
      </c>
      <c r="E7" s="162"/>
      <c r="F7" s="206">
        <v>73146.02</v>
      </c>
      <c r="G7" s="170"/>
      <c r="H7" s="170"/>
      <c r="I7" s="170">
        <v>16250</v>
      </c>
      <c r="J7" s="170">
        <v>16250</v>
      </c>
      <c r="K7" s="170">
        <v>55600</v>
      </c>
      <c r="L7" s="170"/>
      <c r="M7" s="170"/>
      <c r="N7" s="170"/>
      <c r="O7" s="171">
        <f>SUM(F7:N7)</f>
        <v>161246.02000000002</v>
      </c>
      <c r="P7" s="170"/>
      <c r="Q7" s="171">
        <f>O7+P7</f>
        <v>161246.02000000002</v>
      </c>
      <c r="R7" s="172">
        <f t="shared" ref="R7:R37" si="0">IFERROR(Q7/$Q$38*100,0)</f>
        <v>2.5590033166564883</v>
      </c>
      <c r="S7" s="65" t="b">
        <f>D7=Q7</f>
        <v>1</v>
      </c>
      <c r="T7" s="173"/>
      <c r="U7" s="225"/>
      <c r="V7" s="225"/>
      <c r="W7" s="225"/>
      <c r="X7" s="225"/>
      <c r="Y7" s="225"/>
    </row>
    <row r="8" spans="1:31" ht="76.5" customHeight="1" x14ac:dyDescent="0.4">
      <c r="A8" s="166" t="str">
        <f>'Quadro Geral'!A9</f>
        <v>Direção Geral</v>
      </c>
      <c r="B8" s="167">
        <f>'Quadro Geral'!D9</f>
        <v>0</v>
      </c>
      <c r="C8" s="168" t="str">
        <f>'Quadro Geral'!E9</f>
        <v>Manutenção Institucional</v>
      </c>
      <c r="D8" s="169">
        <f>'Quadro Geral'!M9</f>
        <v>664221.98</v>
      </c>
      <c r="E8" s="162"/>
      <c r="F8" s="206">
        <v>257683.62</v>
      </c>
      <c r="G8" s="170"/>
      <c r="H8" s="170">
        <v>28000</v>
      </c>
      <c r="I8" s="170"/>
      <c r="J8" s="170"/>
      <c r="K8" s="170">
        <f>246396.36+22000</f>
        <v>268396.36</v>
      </c>
      <c r="L8" s="170">
        <v>37712</v>
      </c>
      <c r="M8" s="170"/>
      <c r="N8" s="170">
        <v>72430</v>
      </c>
      <c r="O8" s="171">
        <f t="shared" ref="O8:O37" si="1">SUM(F8:N8)</f>
        <v>664221.98</v>
      </c>
      <c r="P8" s="170"/>
      <c r="Q8" s="171">
        <f t="shared" ref="Q8:Q37" si="2">O8+P8</f>
        <v>664221.98</v>
      </c>
      <c r="R8" s="172">
        <f t="shared" si="0"/>
        <v>10.541322197075869</v>
      </c>
      <c r="S8" s="65" t="b">
        <f t="shared" ref="S8:S37" si="3">D8=Q8</f>
        <v>1</v>
      </c>
      <c r="T8" s="173"/>
      <c r="U8" s="225"/>
      <c r="V8" s="225"/>
      <c r="W8" s="225"/>
      <c r="X8" s="225"/>
      <c r="Y8" s="225"/>
    </row>
    <row r="9" spans="1:31" ht="157.5" x14ac:dyDescent="0.4">
      <c r="A9" s="166" t="str">
        <f>'Quadro Geral'!A10</f>
        <v>Gerência Técnica</v>
      </c>
      <c r="B9" s="167">
        <f>'Quadro Geral'!D10</f>
        <v>0</v>
      </c>
      <c r="C9" s="168" t="str">
        <f>'Quadro Geral'!E10</f>
        <v>Orientação, esclarecimento e atendimento de demandas de profissionais e empresas</v>
      </c>
      <c r="D9" s="169">
        <f>'Quadro Geral'!M10</f>
        <v>218623.72999999998</v>
      </c>
      <c r="E9" s="162"/>
      <c r="F9" s="206">
        <v>198753.73</v>
      </c>
      <c r="G9" s="170"/>
      <c r="H9" s="170"/>
      <c r="I9" s="170"/>
      <c r="J9" s="170"/>
      <c r="K9" s="170">
        <v>19870</v>
      </c>
      <c r="L9" s="170"/>
      <c r="M9" s="170"/>
      <c r="N9" s="170"/>
      <c r="O9" s="171">
        <f t="shared" si="1"/>
        <v>218623.73</v>
      </c>
      <c r="P9" s="170"/>
      <c r="Q9" s="171">
        <f t="shared" si="2"/>
        <v>218623.73</v>
      </c>
      <c r="R9" s="172">
        <f t="shared" si="0"/>
        <v>3.4695978863218615</v>
      </c>
      <c r="S9" s="65" t="b">
        <f t="shared" si="3"/>
        <v>1</v>
      </c>
      <c r="T9" s="173"/>
    </row>
    <row r="10" spans="1:31" ht="105" x14ac:dyDescent="0.4">
      <c r="A10" s="166" t="str">
        <f>'Quadro Geral'!A11</f>
        <v>Gerência de Operações</v>
      </c>
      <c r="B10" s="167">
        <f>'Quadro Geral'!D11</f>
        <v>0</v>
      </c>
      <c r="C10" s="168" t="str">
        <f>'Quadro Geral'!E11</f>
        <v>Operacionalização dos processos éticos e de multa/fiscalização</v>
      </c>
      <c r="D10" s="169">
        <f>'Quadro Geral'!M11</f>
        <v>51158.959999999992</v>
      </c>
      <c r="E10" s="162"/>
      <c r="F10" s="206">
        <v>51158.96</v>
      </c>
      <c r="G10" s="170"/>
      <c r="H10" s="170"/>
      <c r="I10" s="170"/>
      <c r="J10" s="170"/>
      <c r="K10" s="170"/>
      <c r="L10" s="170"/>
      <c r="M10" s="170"/>
      <c r="N10" s="170"/>
      <c r="O10" s="171">
        <f t="shared" si="1"/>
        <v>51158.96</v>
      </c>
      <c r="P10" s="170"/>
      <c r="Q10" s="171">
        <f t="shared" si="2"/>
        <v>51158.96</v>
      </c>
      <c r="R10" s="172">
        <f t="shared" si="0"/>
        <v>0.81190188952692677</v>
      </c>
      <c r="S10" s="65" t="b">
        <f t="shared" si="3"/>
        <v>1</v>
      </c>
      <c r="T10" s="173"/>
    </row>
    <row r="11" spans="1:31" ht="78.75" x14ac:dyDescent="0.4">
      <c r="A11" s="166" t="str">
        <f>'Quadro Geral'!A12</f>
        <v>Gerência Adm. Financeira</v>
      </c>
      <c r="B11" s="167">
        <f>'Quadro Geral'!D12</f>
        <v>0</v>
      </c>
      <c r="C11" s="168" t="str">
        <f>'Quadro Geral'!E12</f>
        <v>Manutenção Administrativa financeira</v>
      </c>
      <c r="D11" s="169">
        <f>'Quadro Geral'!M12</f>
        <v>447511.33</v>
      </c>
      <c r="E11" s="162"/>
      <c r="F11" s="206">
        <v>158519.57</v>
      </c>
      <c r="G11" s="170"/>
      <c r="H11" s="170"/>
      <c r="I11" s="170"/>
      <c r="J11" s="170"/>
      <c r="K11" s="170">
        <f>268370+20621.76</f>
        <v>288991.76</v>
      </c>
      <c r="L11" s="170"/>
      <c r="M11" s="170"/>
      <c r="N11" s="170"/>
      <c r="O11" s="171">
        <f t="shared" si="1"/>
        <v>447511.33</v>
      </c>
      <c r="P11" s="170"/>
      <c r="Q11" s="171">
        <f t="shared" si="2"/>
        <v>447511.33</v>
      </c>
      <c r="R11" s="172">
        <f t="shared" si="0"/>
        <v>7.1020852341741909</v>
      </c>
      <c r="S11" s="65" t="b">
        <f t="shared" si="3"/>
        <v>1</v>
      </c>
      <c r="T11" s="173"/>
    </row>
    <row r="12" spans="1:31" ht="52.5" x14ac:dyDescent="0.4">
      <c r="A12" s="166" t="str">
        <f>'Quadro Geral'!A13</f>
        <v>Assessoria Jurídica</v>
      </c>
      <c r="B12" s="167">
        <f>'Quadro Geral'!D13</f>
        <v>0</v>
      </c>
      <c r="C12" s="168" t="str">
        <f>'Quadro Geral'!E13</f>
        <v>Consultoria e Assessoria Jurídica</v>
      </c>
      <c r="D12" s="169">
        <f>'Quadro Geral'!M13</f>
        <v>182877.17</v>
      </c>
      <c r="E12" s="162"/>
      <c r="F12" s="206">
        <v>160737.17000000001</v>
      </c>
      <c r="G12" s="170"/>
      <c r="H12" s="170"/>
      <c r="I12" s="170"/>
      <c r="J12" s="170"/>
      <c r="K12" s="170">
        <v>17140</v>
      </c>
      <c r="L12" s="170"/>
      <c r="M12" s="170"/>
      <c r="N12" s="170">
        <v>5000</v>
      </c>
      <c r="O12" s="171">
        <f t="shared" si="1"/>
        <v>182877.17</v>
      </c>
      <c r="P12" s="170"/>
      <c r="Q12" s="171">
        <f t="shared" si="2"/>
        <v>182877.17</v>
      </c>
      <c r="R12" s="172">
        <f t="shared" si="0"/>
        <v>2.9022935547231024</v>
      </c>
      <c r="S12" s="65" t="b">
        <f t="shared" si="3"/>
        <v>1</v>
      </c>
      <c r="T12" s="173"/>
    </row>
    <row r="13" spans="1:31" ht="105" x14ac:dyDescent="0.4">
      <c r="A13" s="166" t="str">
        <f>'Quadro Geral'!A14</f>
        <v>Comissão de Ética</v>
      </c>
      <c r="B13" s="167">
        <f>'Quadro Geral'!D14</f>
        <v>0</v>
      </c>
      <c r="C13" s="168" t="str">
        <f>'Quadro Geral'!E14</f>
        <v>Operacionalização e processamento dos  processos éticos</v>
      </c>
      <c r="D13" s="169">
        <f>'Quadro Geral'!M14</f>
        <v>105850.07</v>
      </c>
      <c r="E13" s="162"/>
      <c r="F13" s="206">
        <v>73600.070000000007</v>
      </c>
      <c r="G13" s="170"/>
      <c r="H13" s="170"/>
      <c r="I13" s="170">
        <v>10000</v>
      </c>
      <c r="J13" s="170">
        <v>10000</v>
      </c>
      <c r="K13" s="170">
        <f>16000-3750</f>
        <v>12250</v>
      </c>
      <c r="L13" s="170"/>
      <c r="M13" s="170"/>
      <c r="N13" s="170"/>
      <c r="O13" s="171">
        <f t="shared" si="1"/>
        <v>105850.07</v>
      </c>
      <c r="P13" s="170"/>
      <c r="Q13" s="171">
        <f t="shared" si="2"/>
        <v>105850.07</v>
      </c>
      <c r="R13" s="172">
        <f t="shared" si="0"/>
        <v>1.6798596343545191</v>
      </c>
      <c r="S13" s="65" t="b">
        <f t="shared" si="3"/>
        <v>1</v>
      </c>
      <c r="T13" s="173"/>
    </row>
    <row r="14" spans="1:31" ht="105" x14ac:dyDescent="0.4">
      <c r="A14" s="166" t="str">
        <f>'Quadro Geral'!A15</f>
        <v>Comissão de Atos Administrativos</v>
      </c>
      <c r="B14" s="167">
        <f>'Quadro Geral'!D15</f>
        <v>0</v>
      </c>
      <c r="C14" s="168" t="str">
        <f>'Quadro Geral'!E15</f>
        <v>Assessoramento organizacional-institucional</v>
      </c>
      <c r="D14" s="169">
        <f>'Quadro Geral'!M15</f>
        <v>55000</v>
      </c>
      <c r="E14" s="162"/>
      <c r="F14" s="206"/>
      <c r="G14" s="170"/>
      <c r="H14" s="170"/>
      <c r="I14" s="170">
        <v>5000</v>
      </c>
      <c r="J14" s="170">
        <v>5000</v>
      </c>
      <c r="K14" s="170">
        <v>45000</v>
      </c>
      <c r="L14" s="170"/>
      <c r="M14" s="170"/>
      <c r="N14" s="170"/>
      <c r="O14" s="171">
        <f t="shared" si="1"/>
        <v>55000</v>
      </c>
      <c r="P14" s="170"/>
      <c r="Q14" s="171">
        <f t="shared" si="2"/>
        <v>55000</v>
      </c>
      <c r="R14" s="172">
        <f t="shared" si="0"/>
        <v>0.87285988464153619</v>
      </c>
      <c r="S14" s="65" t="b">
        <f t="shared" si="3"/>
        <v>1</v>
      </c>
      <c r="T14" s="173"/>
    </row>
    <row r="15" spans="1:31" ht="131.25" x14ac:dyDescent="0.4">
      <c r="A15" s="166" t="str">
        <f>'Quadro Geral'!A16</f>
        <v>Comissão de Exercício Profissional e Fiscalização</v>
      </c>
      <c r="B15" s="167">
        <f>'Quadro Geral'!D16</f>
        <v>0</v>
      </c>
      <c r="C15" s="168" t="str">
        <f>'Quadro Geral'!E16</f>
        <v>Operacionalização da Fiscalização e fomento da valorização profissional</v>
      </c>
      <c r="D15" s="169">
        <f>'Quadro Geral'!M16</f>
        <v>16250</v>
      </c>
      <c r="E15" s="162"/>
      <c r="F15" s="206"/>
      <c r="G15" s="170"/>
      <c r="H15" s="170"/>
      <c r="I15" s="170">
        <v>10000</v>
      </c>
      <c r="J15" s="170">
        <f>10000-3750</f>
        <v>6250</v>
      </c>
      <c r="K15" s="170"/>
      <c r="L15" s="170"/>
      <c r="M15" s="170"/>
      <c r="N15" s="170"/>
      <c r="O15" s="171">
        <f t="shared" si="1"/>
        <v>16250</v>
      </c>
      <c r="P15" s="170"/>
      <c r="Q15" s="171">
        <f t="shared" si="2"/>
        <v>16250</v>
      </c>
      <c r="R15" s="172">
        <f t="shared" si="0"/>
        <v>0.25789042046227212</v>
      </c>
      <c r="S15" s="65" t="b">
        <f t="shared" si="3"/>
        <v>1</v>
      </c>
      <c r="T15" s="173"/>
    </row>
    <row r="16" spans="1:31" ht="78.75" x14ac:dyDescent="0.4">
      <c r="A16" s="166" t="str">
        <f>'Quadro Geral'!A17</f>
        <v>Comissão de Planejamento e Finanças</v>
      </c>
      <c r="B16" s="167">
        <f>'Quadro Geral'!D17</f>
        <v>0</v>
      </c>
      <c r="C16" s="168" t="str">
        <f>'Quadro Geral'!E17</f>
        <v>Operacionalização, Planejamento e Controle do CAU</v>
      </c>
      <c r="D16" s="169">
        <f>'Quadro Geral'!M17</f>
        <v>13809.490000000002</v>
      </c>
      <c r="E16" s="162"/>
      <c r="F16" s="206"/>
      <c r="G16" s="170"/>
      <c r="H16" s="170"/>
      <c r="I16" s="206">
        <v>9059.49</v>
      </c>
      <c r="J16" s="206">
        <f>8500-3750</f>
        <v>4750</v>
      </c>
      <c r="K16" s="170"/>
      <c r="L16" s="170"/>
      <c r="M16" s="170"/>
      <c r="N16" s="170"/>
      <c r="O16" s="171">
        <f t="shared" si="1"/>
        <v>13809.49</v>
      </c>
      <c r="P16" s="170"/>
      <c r="Q16" s="171">
        <f t="shared" si="2"/>
        <v>13809.49</v>
      </c>
      <c r="R16" s="172">
        <f t="shared" si="0"/>
        <v>0.2191590881519718</v>
      </c>
      <c r="S16" s="65" t="b">
        <f t="shared" si="3"/>
        <v>1</v>
      </c>
      <c r="T16" s="173"/>
    </row>
    <row r="17" spans="1:21" ht="105" x14ac:dyDescent="0.4">
      <c r="A17" s="166" t="str">
        <f>'Quadro Geral'!A18</f>
        <v>Comissão de Ensino</v>
      </c>
      <c r="B17" s="167">
        <f>'Quadro Geral'!D18</f>
        <v>0</v>
      </c>
      <c r="C17" s="168" t="str">
        <f>'Quadro Geral'!E18</f>
        <v>Fomento ao aperfeiçoamento e à formação profissional</v>
      </c>
      <c r="D17" s="169">
        <f>'Quadro Geral'!M18</f>
        <v>52871.759999999995</v>
      </c>
      <c r="E17" s="162"/>
      <c r="F17" s="206"/>
      <c r="G17" s="170"/>
      <c r="H17" s="170"/>
      <c r="I17" s="170">
        <v>10000</v>
      </c>
      <c r="J17" s="170">
        <v>10000</v>
      </c>
      <c r="K17" s="170">
        <f>16000+20621.76-3750</f>
        <v>32871.759999999995</v>
      </c>
      <c r="L17" s="170"/>
      <c r="M17" s="170"/>
      <c r="N17" s="170"/>
      <c r="O17" s="171">
        <f t="shared" si="1"/>
        <v>52871.759999999995</v>
      </c>
      <c r="P17" s="170"/>
      <c r="Q17" s="171">
        <f t="shared" si="2"/>
        <v>52871.759999999995</v>
      </c>
      <c r="R17" s="172">
        <f t="shared" si="0"/>
        <v>0.8390843333526361</v>
      </c>
      <c r="S17" s="65" t="b">
        <f t="shared" si="3"/>
        <v>1</v>
      </c>
      <c r="T17" s="173"/>
    </row>
    <row r="18" spans="1:21" ht="131.25" x14ac:dyDescent="0.4">
      <c r="A18" s="166" t="str">
        <f>'Quadro Geral'!A19</f>
        <v>Comissão Especial de Política Profissional</v>
      </c>
      <c r="B18" s="167">
        <f>'Quadro Geral'!D19</f>
        <v>0</v>
      </c>
      <c r="C18" s="168" t="str">
        <f>'Quadro Geral'!E19</f>
        <v>Fomento a ações que buscam promover melhorias da prática profissional</v>
      </c>
      <c r="D18" s="169">
        <f>'Quadro Geral'!M19</f>
        <v>30621.759999999998</v>
      </c>
      <c r="E18" s="162"/>
      <c r="F18" s="206"/>
      <c r="G18" s="170"/>
      <c r="H18" s="170"/>
      <c r="I18" s="170">
        <v>2500</v>
      </c>
      <c r="J18" s="170">
        <v>2500</v>
      </c>
      <c r="K18" s="170">
        <f>5000+20621.76</f>
        <v>25621.759999999998</v>
      </c>
      <c r="L18" s="170"/>
      <c r="M18" s="170"/>
      <c r="N18" s="170"/>
      <c r="O18" s="171">
        <f t="shared" si="1"/>
        <v>30621.759999999998</v>
      </c>
      <c r="P18" s="170"/>
      <c r="Q18" s="171">
        <f t="shared" si="2"/>
        <v>30621.759999999998</v>
      </c>
      <c r="R18" s="172">
        <f t="shared" si="0"/>
        <v>0.4859728345658329</v>
      </c>
      <c r="S18" s="65" t="b">
        <f t="shared" si="3"/>
        <v>1</v>
      </c>
      <c r="T18" s="173"/>
    </row>
    <row r="19" spans="1:21" ht="157.5" x14ac:dyDescent="0.4">
      <c r="A19" s="166" t="str">
        <f>'Quadro Geral'!A20</f>
        <v>Comissão Especial Política Urbana</v>
      </c>
      <c r="B19" s="167">
        <f>'Quadro Geral'!D20</f>
        <v>0</v>
      </c>
      <c r="C19" s="168" t="str">
        <f>'Quadro Geral'!E20</f>
        <v>Fomento a ações que buscam promover melhorias da política urbana estadual</v>
      </c>
      <c r="D19" s="169">
        <f>'Quadro Geral'!M20</f>
        <v>10000</v>
      </c>
      <c r="E19" s="162"/>
      <c r="F19" s="206"/>
      <c r="G19" s="170"/>
      <c r="H19" s="170"/>
      <c r="I19" s="170">
        <v>2500</v>
      </c>
      <c r="J19" s="170">
        <v>2500</v>
      </c>
      <c r="K19" s="170">
        <v>5000</v>
      </c>
      <c r="L19" s="170"/>
      <c r="M19" s="170"/>
      <c r="N19" s="170"/>
      <c r="O19" s="171">
        <f t="shared" si="1"/>
        <v>10000</v>
      </c>
      <c r="P19" s="170"/>
      <c r="Q19" s="171">
        <f t="shared" si="2"/>
        <v>10000</v>
      </c>
      <c r="R19" s="172">
        <f t="shared" si="0"/>
        <v>0.15870179720755206</v>
      </c>
      <c r="S19" s="65" t="b">
        <f t="shared" si="3"/>
        <v>1</v>
      </c>
      <c r="T19" s="173"/>
    </row>
    <row r="20" spans="1:21" ht="105" x14ac:dyDescent="0.4">
      <c r="A20" s="166" t="str">
        <f>'Quadro Geral'!A21</f>
        <v>Plenária</v>
      </c>
      <c r="B20" s="167">
        <f>'Quadro Geral'!D21</f>
        <v>0</v>
      </c>
      <c r="C20" s="168" t="str">
        <f>'Quadro Geral'!E21</f>
        <v>Operacionalização das reuniões institucionais regimentais</v>
      </c>
      <c r="D20" s="169">
        <f>'Quadro Geral'!M21</f>
        <v>80000</v>
      </c>
      <c r="E20" s="162"/>
      <c r="F20" s="206"/>
      <c r="G20" s="170"/>
      <c r="H20" s="170"/>
      <c r="I20" s="170">
        <v>40000</v>
      </c>
      <c r="J20" s="170">
        <v>40000</v>
      </c>
      <c r="K20" s="170"/>
      <c r="L20" s="170"/>
      <c r="M20" s="170"/>
      <c r="N20" s="170"/>
      <c r="O20" s="171">
        <f t="shared" si="1"/>
        <v>80000</v>
      </c>
      <c r="P20" s="170"/>
      <c r="Q20" s="171">
        <f t="shared" si="2"/>
        <v>80000</v>
      </c>
      <c r="R20" s="172">
        <f t="shared" si="0"/>
        <v>1.2696143776604165</v>
      </c>
      <c r="S20" s="65" t="b">
        <f t="shared" si="3"/>
        <v>1</v>
      </c>
      <c r="T20" s="173"/>
    </row>
    <row r="21" spans="1:21" ht="36.75" customHeight="1" x14ac:dyDescent="0.4">
      <c r="A21" s="166" t="str">
        <f>'Quadro Geral'!A22</f>
        <v>Plenária</v>
      </c>
      <c r="B21" s="167">
        <f>'Quadro Geral'!D22</f>
        <v>0</v>
      </c>
      <c r="C21" s="168" t="str">
        <f>'Quadro Geral'!E22</f>
        <v>Dia do Arquiteto</v>
      </c>
      <c r="D21" s="169">
        <f>'Quadro Geral'!M22</f>
        <v>60621.760000000002</v>
      </c>
      <c r="E21" s="162"/>
      <c r="F21" s="206"/>
      <c r="G21" s="170"/>
      <c r="H21" s="170"/>
      <c r="I21" s="170"/>
      <c r="J21" s="170"/>
      <c r="K21" s="170">
        <f>40000+20621.76</f>
        <v>60621.759999999995</v>
      </c>
      <c r="L21" s="170"/>
      <c r="M21" s="170"/>
      <c r="N21" s="170"/>
      <c r="O21" s="171">
        <f t="shared" si="1"/>
        <v>60621.759999999995</v>
      </c>
      <c r="P21" s="170"/>
      <c r="Q21" s="171">
        <f t="shared" si="2"/>
        <v>60621.759999999995</v>
      </c>
      <c r="R21" s="172">
        <f t="shared" si="0"/>
        <v>0.96207822618848904</v>
      </c>
      <c r="S21" s="65" t="b">
        <f t="shared" si="3"/>
        <v>1</v>
      </c>
      <c r="T21" s="173"/>
    </row>
    <row r="22" spans="1:21" ht="105" x14ac:dyDescent="0.4">
      <c r="A22" s="166" t="str">
        <f>'Quadro Geral'!A23</f>
        <v>Direção Geral</v>
      </c>
      <c r="B22" s="167">
        <f>'Quadro Geral'!D23</f>
        <v>0</v>
      </c>
      <c r="C22" s="168" t="str">
        <f>'Quadro Geral'!E23</f>
        <v>APC - Aperfeiçoamento Profissional Continuado</v>
      </c>
      <c r="D22" s="169">
        <f>'Quadro Geral'!M23</f>
        <v>41376.11</v>
      </c>
      <c r="E22" s="162"/>
      <c r="F22" s="206"/>
      <c r="G22" s="170"/>
      <c r="H22" s="170"/>
      <c r="I22" s="170"/>
      <c r="J22" s="170"/>
      <c r="K22" s="170">
        <v>41376.11</v>
      </c>
      <c r="L22" s="170"/>
      <c r="M22" s="170"/>
      <c r="N22" s="170"/>
      <c r="O22" s="171">
        <f t="shared" si="1"/>
        <v>41376.11</v>
      </c>
      <c r="P22" s="170"/>
      <c r="Q22" s="171">
        <f t="shared" si="2"/>
        <v>41376.11</v>
      </c>
      <c r="R22" s="172">
        <f t="shared" si="0"/>
        <v>0.65664630184573669</v>
      </c>
      <c r="S22" s="65" t="b">
        <f t="shared" si="3"/>
        <v>1</v>
      </c>
      <c r="T22" s="173"/>
    </row>
    <row r="23" spans="1:21" ht="56.1" customHeight="1" x14ac:dyDescent="0.4">
      <c r="A23" s="166" t="str">
        <f>'Quadro Geral'!A24</f>
        <v>Plenária</v>
      </c>
      <c r="B23" s="167">
        <f>'Quadro Geral'!D24</f>
        <v>0</v>
      </c>
      <c r="C23" s="168" t="str">
        <f>'Quadro Geral'!E24</f>
        <v>Patrocínio</v>
      </c>
      <c r="D23" s="169">
        <f>'Quadro Geral'!M24</f>
        <v>60621.760000000002</v>
      </c>
      <c r="E23" s="162"/>
      <c r="F23" s="206"/>
      <c r="G23" s="170"/>
      <c r="H23" s="170"/>
      <c r="I23" s="170"/>
      <c r="J23" s="170"/>
      <c r="K23" s="170"/>
      <c r="L23" s="170">
        <v>60621.760000000002</v>
      </c>
      <c r="M23" s="170"/>
      <c r="N23" s="170"/>
      <c r="O23" s="171">
        <f t="shared" si="1"/>
        <v>60621.760000000002</v>
      </c>
      <c r="P23" s="170"/>
      <c r="Q23" s="171">
        <f t="shared" si="2"/>
        <v>60621.760000000002</v>
      </c>
      <c r="R23" s="172">
        <f t="shared" si="0"/>
        <v>0.96207822618848904</v>
      </c>
      <c r="S23" s="65" t="b">
        <f t="shared" si="3"/>
        <v>1</v>
      </c>
      <c r="T23" s="173"/>
    </row>
    <row r="24" spans="1:21" ht="56.1" customHeight="1" x14ac:dyDescent="0.4">
      <c r="A24" s="166" t="str">
        <f>'Quadro Geral'!A25</f>
        <v>Gerência Adm. Financeira</v>
      </c>
      <c r="B24" s="167">
        <f>'Quadro Geral'!D25</f>
        <v>0</v>
      </c>
      <c r="C24" s="168" t="str">
        <f>'Quadro Geral'!E25</f>
        <v>Aporte ao Fundo de Apoio</v>
      </c>
      <c r="D24" s="169">
        <f>'Quadro Geral'!M25</f>
        <v>72887.990000000005</v>
      </c>
      <c r="E24" s="162"/>
      <c r="F24" s="206"/>
      <c r="G24" s="170"/>
      <c r="H24" s="170"/>
      <c r="I24" s="170"/>
      <c r="J24" s="170"/>
      <c r="K24" s="170"/>
      <c r="L24" s="170">
        <v>72887.990000000005</v>
      </c>
      <c r="M24" s="170"/>
      <c r="N24" s="170"/>
      <c r="O24" s="171">
        <f t="shared" si="1"/>
        <v>72887.990000000005</v>
      </c>
      <c r="P24" s="170"/>
      <c r="Q24" s="171">
        <f t="shared" si="2"/>
        <v>72887.990000000005</v>
      </c>
      <c r="R24" s="172">
        <f t="shared" si="0"/>
        <v>1.1567455007846081</v>
      </c>
      <c r="S24" s="65" t="b">
        <f t="shared" si="3"/>
        <v>1</v>
      </c>
      <c r="T24" s="173"/>
    </row>
    <row r="25" spans="1:21" ht="56.1" customHeight="1" x14ac:dyDescent="0.4">
      <c r="A25" s="166" t="str">
        <f>'Quadro Geral'!A26</f>
        <v>Plenária</v>
      </c>
      <c r="B25" s="167">
        <f>'Quadro Geral'!D26</f>
        <v>0</v>
      </c>
      <c r="C25" s="168" t="str">
        <f>'Quadro Geral'!E26</f>
        <v>Comunicação Institucional</v>
      </c>
      <c r="D25" s="169">
        <f>'Quadro Geral'!M26</f>
        <v>157432.19</v>
      </c>
      <c r="E25" s="162"/>
      <c r="F25" s="206"/>
      <c r="G25" s="170"/>
      <c r="H25" s="170">
        <v>8000</v>
      </c>
      <c r="I25" s="170"/>
      <c r="J25" s="170"/>
      <c r="K25" s="170">
        <f>110000+39432.19</f>
        <v>149432.19</v>
      </c>
      <c r="L25" s="170"/>
      <c r="M25" s="170"/>
      <c r="N25" s="170"/>
      <c r="O25" s="171">
        <f t="shared" si="1"/>
        <v>157432.19</v>
      </c>
      <c r="P25" s="170"/>
      <c r="Q25" s="171">
        <f t="shared" si="2"/>
        <v>157432.19</v>
      </c>
      <c r="R25" s="172">
        <f t="shared" si="0"/>
        <v>2.4984771491320803</v>
      </c>
      <c r="S25" s="65" t="b">
        <f t="shared" si="3"/>
        <v>1</v>
      </c>
      <c r="T25" s="173"/>
    </row>
    <row r="26" spans="1:21" ht="78.75" x14ac:dyDescent="0.4">
      <c r="A26" s="166" t="str">
        <f>'Quadro Geral'!A27</f>
        <v>Direção Geral</v>
      </c>
      <c r="B26" s="167">
        <f>'Quadro Geral'!D27</f>
        <v>0</v>
      </c>
      <c r="C26" s="168" t="str">
        <f>'Quadro Geral'!E27</f>
        <v>Programa de Capacitação dos Colaboradores</v>
      </c>
      <c r="D26" s="169">
        <f>'Quadro Geral'!M27</f>
        <v>31000</v>
      </c>
      <c r="E26" s="162"/>
      <c r="F26" s="206"/>
      <c r="G26" s="170"/>
      <c r="H26" s="170"/>
      <c r="I26" s="170"/>
      <c r="J26" s="170"/>
      <c r="K26" s="170">
        <v>31000</v>
      </c>
      <c r="L26" s="170"/>
      <c r="M26" s="170"/>
      <c r="N26" s="170"/>
      <c r="O26" s="171">
        <f t="shared" si="1"/>
        <v>31000</v>
      </c>
      <c r="P26" s="170"/>
      <c r="Q26" s="171">
        <f t="shared" si="2"/>
        <v>31000</v>
      </c>
      <c r="R26" s="172">
        <f t="shared" si="0"/>
        <v>0.49197557134341136</v>
      </c>
      <c r="S26" s="65" t="b">
        <f t="shared" si="3"/>
        <v>1</v>
      </c>
      <c r="T26" s="173"/>
    </row>
    <row r="27" spans="1:21" ht="52.5" x14ac:dyDescent="0.4">
      <c r="A27" s="166" t="str">
        <f>'Quadro Geral'!A28</f>
        <v>Plenária</v>
      </c>
      <c r="B27" s="167">
        <f>'Quadro Geral'!D28</f>
        <v>0</v>
      </c>
      <c r="C27" s="168" t="str">
        <f>'Quadro Geral'!E28</f>
        <v>Programa de Assistência Técnica</v>
      </c>
      <c r="D27" s="169">
        <f>'Quadro Geral'!M28</f>
        <v>88719.84</v>
      </c>
      <c r="E27" s="162"/>
      <c r="F27" s="206"/>
      <c r="G27" s="170"/>
      <c r="H27" s="170"/>
      <c r="I27" s="170"/>
      <c r="J27" s="170"/>
      <c r="K27" s="170"/>
      <c r="L27" s="170">
        <v>88719.84</v>
      </c>
      <c r="M27" s="170"/>
      <c r="N27" s="170"/>
      <c r="O27" s="171">
        <f t="shared" si="1"/>
        <v>88719.84</v>
      </c>
      <c r="P27" s="170"/>
      <c r="Q27" s="171">
        <f t="shared" si="2"/>
        <v>88719.84</v>
      </c>
      <c r="R27" s="172">
        <f t="shared" si="0"/>
        <v>1.4079998055966465</v>
      </c>
      <c r="S27" s="65" t="b">
        <f t="shared" si="3"/>
        <v>1</v>
      </c>
      <c r="T27" s="173"/>
    </row>
    <row r="28" spans="1:21" ht="105" x14ac:dyDescent="0.4">
      <c r="A28" s="166" t="str">
        <f>'Quadro Geral'!A29</f>
        <v>Gerência de Atendimento</v>
      </c>
      <c r="B28" s="167">
        <f>'Quadro Geral'!D29</f>
        <v>0</v>
      </c>
      <c r="C28" s="168" t="str">
        <f>'Quadro Geral'!E29</f>
        <v>Atendimento da Sociedade e arquitetos e urbanistas</v>
      </c>
      <c r="D28" s="169">
        <f>'Quadro Geral'!M29</f>
        <v>279513.93</v>
      </c>
      <c r="E28" s="162"/>
      <c r="F28" s="206">
        <v>158519.53</v>
      </c>
      <c r="G28" s="170"/>
      <c r="H28" s="170"/>
      <c r="I28" s="170"/>
      <c r="J28" s="170"/>
      <c r="K28" s="170">
        <v>120994.4</v>
      </c>
      <c r="L28" s="170"/>
      <c r="M28" s="170"/>
      <c r="N28" s="170"/>
      <c r="O28" s="171">
        <f t="shared" si="1"/>
        <v>279513.93</v>
      </c>
      <c r="P28" s="170"/>
      <c r="Q28" s="171">
        <f t="shared" si="2"/>
        <v>279513.93</v>
      </c>
      <c r="R28" s="172">
        <f t="shared" si="0"/>
        <v>4.4359363035545902</v>
      </c>
      <c r="S28" s="65" t="b">
        <f t="shared" si="3"/>
        <v>1</v>
      </c>
      <c r="T28" s="173"/>
    </row>
    <row r="29" spans="1:21" ht="56.1" customHeight="1" x14ac:dyDescent="0.4">
      <c r="A29" s="166" t="str">
        <f>'Quadro Geral'!A30</f>
        <v>Plenária</v>
      </c>
      <c r="B29" s="167">
        <f>'Quadro Geral'!D30</f>
        <v>0</v>
      </c>
      <c r="C29" s="168" t="str">
        <f>'Quadro Geral'!E30</f>
        <v>Reforma sede CAU/BA</v>
      </c>
      <c r="D29" s="169">
        <f>'Quadro Geral'!M30</f>
        <v>400000</v>
      </c>
      <c r="E29" s="162"/>
      <c r="F29" s="206"/>
      <c r="G29" s="170"/>
      <c r="H29" s="170"/>
      <c r="I29" s="170"/>
      <c r="J29" s="170"/>
      <c r="K29" s="170"/>
      <c r="L29" s="170"/>
      <c r="M29" s="170"/>
      <c r="N29" s="170"/>
      <c r="O29" s="171">
        <f t="shared" si="1"/>
        <v>0</v>
      </c>
      <c r="P29" s="170">
        <v>400000</v>
      </c>
      <c r="Q29" s="171">
        <f t="shared" si="2"/>
        <v>400000</v>
      </c>
      <c r="R29" s="172">
        <f t="shared" si="0"/>
        <v>6.3480718883020817</v>
      </c>
      <c r="S29" s="65" t="b">
        <f t="shared" si="3"/>
        <v>1</v>
      </c>
      <c r="T29" s="173"/>
    </row>
    <row r="30" spans="1:21" ht="56.1" customHeight="1" x14ac:dyDescent="0.4">
      <c r="A30" s="166" t="str">
        <f>'Quadro Geral'!A31</f>
        <v>Plenária</v>
      </c>
      <c r="B30" s="167">
        <f>'Quadro Geral'!D31</f>
        <v>0</v>
      </c>
      <c r="C30" s="168" t="str">
        <f>'Quadro Geral'!E31</f>
        <v>Aquisição de Equipamentos</v>
      </c>
      <c r="D30" s="169">
        <f>'Quadro Geral'!M31</f>
        <v>400000</v>
      </c>
      <c r="E30" s="162"/>
      <c r="F30" s="206"/>
      <c r="G30" s="170"/>
      <c r="H30" s="170"/>
      <c r="I30" s="170"/>
      <c r="J30" s="170"/>
      <c r="K30" s="170"/>
      <c r="L30" s="170"/>
      <c r="M30" s="170"/>
      <c r="N30" s="170"/>
      <c r="O30" s="171">
        <f t="shared" si="1"/>
        <v>0</v>
      </c>
      <c r="P30" s="265">
        <v>400000</v>
      </c>
      <c r="Q30" s="171">
        <f t="shared" si="2"/>
        <v>400000</v>
      </c>
      <c r="R30" s="172">
        <f t="shared" si="0"/>
        <v>6.3480718883020817</v>
      </c>
      <c r="S30" s="65" t="b">
        <f t="shared" si="3"/>
        <v>1</v>
      </c>
      <c r="T30" s="303"/>
    </row>
    <row r="31" spans="1:21" ht="56.1" customHeight="1" x14ac:dyDescent="0.4">
      <c r="A31" s="166" t="str">
        <f>'Quadro Geral'!A32</f>
        <v>Gerência Adm. Financeira</v>
      </c>
      <c r="B31" s="167">
        <f>'Quadro Geral'!D32</f>
        <v>0</v>
      </c>
      <c r="C31" s="168" t="str">
        <f>'Quadro Geral'!E32</f>
        <v>CSC -Fiscalização</v>
      </c>
      <c r="D31" s="169">
        <f>'Quadro Geral'!M32</f>
        <v>225980.06</v>
      </c>
      <c r="E31" s="162"/>
      <c r="F31" s="206"/>
      <c r="G31" s="170"/>
      <c r="H31" s="170"/>
      <c r="I31" s="170"/>
      <c r="J31" s="170"/>
      <c r="K31" s="170"/>
      <c r="L31" s="265">
        <v>195944.99</v>
      </c>
      <c r="M31" s="170"/>
      <c r="N31" s="170"/>
      <c r="O31" s="171">
        <f t="shared" si="1"/>
        <v>195944.99</v>
      </c>
      <c r="P31" s="198">
        <v>30035.07</v>
      </c>
      <c r="Q31" s="171">
        <f t="shared" si="2"/>
        <v>225980.06</v>
      </c>
      <c r="R31" s="172">
        <f t="shared" si="0"/>
        <v>3.5863441655070445</v>
      </c>
      <c r="S31" s="65" t="b">
        <f t="shared" si="3"/>
        <v>1</v>
      </c>
      <c r="T31" s="304"/>
      <c r="U31" s="208"/>
    </row>
    <row r="32" spans="1:21" ht="56.1" customHeight="1" x14ac:dyDescent="0.4">
      <c r="A32" s="166" t="str">
        <f>'Quadro Geral'!A33</f>
        <v>Gerência Adm. Financeira</v>
      </c>
      <c r="B32" s="167">
        <f>'Quadro Geral'!D33</f>
        <v>0</v>
      </c>
      <c r="C32" s="168" t="str">
        <f>'Quadro Geral'!E33</f>
        <v>CSC- Atendimento</v>
      </c>
      <c r="D32" s="169">
        <f>'Quadro Geral'!M33</f>
        <v>33121.4</v>
      </c>
      <c r="E32" s="162"/>
      <c r="F32" s="206"/>
      <c r="G32" s="170"/>
      <c r="H32" s="170"/>
      <c r="I32" s="170"/>
      <c r="J32" s="170"/>
      <c r="K32" s="170"/>
      <c r="L32" s="265">
        <v>23724.28</v>
      </c>
      <c r="M32" s="170"/>
      <c r="N32" s="170"/>
      <c r="O32" s="171">
        <f t="shared" si="1"/>
        <v>23724.28</v>
      </c>
      <c r="P32" s="198">
        <v>9397.1200000000008</v>
      </c>
      <c r="Q32" s="171">
        <f t="shared" si="2"/>
        <v>33121.4</v>
      </c>
      <c r="R32" s="172">
        <f t="shared" si="0"/>
        <v>0.52564257060302144</v>
      </c>
      <c r="S32" s="65" t="b">
        <f t="shared" si="3"/>
        <v>1</v>
      </c>
      <c r="T32" s="304"/>
      <c r="U32" s="266"/>
    </row>
    <row r="33" spans="1:20" ht="56.1" customHeight="1" x14ac:dyDescent="0.4">
      <c r="A33" s="166" t="str">
        <f>'Quadro Geral'!A34</f>
        <v>Gerência de Fiscalização</v>
      </c>
      <c r="B33" s="167">
        <f>'Quadro Geral'!D34</f>
        <v>0</v>
      </c>
      <c r="C33" s="168" t="str">
        <f>'Quadro Geral'!E34</f>
        <v>Plano de Fiscalização</v>
      </c>
      <c r="D33" s="169">
        <f>'Quadro Geral'!M34</f>
        <v>301186.82</v>
      </c>
      <c r="E33" s="162"/>
      <c r="F33" s="271">
        <v>301186.82</v>
      </c>
      <c r="G33" s="174"/>
      <c r="H33" s="174"/>
      <c r="I33" s="174"/>
      <c r="J33" s="174"/>
      <c r="K33" s="174"/>
      <c r="L33" s="174"/>
      <c r="M33" s="174"/>
      <c r="N33" s="174"/>
      <c r="O33" s="171">
        <f t="shared" si="1"/>
        <v>301186.82</v>
      </c>
      <c r="P33" s="174"/>
      <c r="Q33" s="171">
        <f t="shared" si="2"/>
        <v>301186.82</v>
      </c>
      <c r="R33" s="172">
        <f t="shared" si="0"/>
        <v>4.7798889629227483</v>
      </c>
      <c r="S33" s="65" t="b">
        <f>D33=Q33</f>
        <v>1</v>
      </c>
      <c r="T33" s="305"/>
    </row>
    <row r="34" spans="1:20" ht="56.1" customHeight="1" x14ac:dyDescent="0.4">
      <c r="A34" s="166" t="str">
        <f>'Quadro Geral'!A35</f>
        <v>Plenária</v>
      </c>
      <c r="B34" s="167">
        <f>'Quadro Geral'!D35</f>
        <v>0</v>
      </c>
      <c r="C34" s="168" t="str">
        <f>'Quadro Geral'!E35</f>
        <v>Reserva de Contingência</v>
      </c>
      <c r="D34" s="169">
        <f>'Quadro Geral'!M35</f>
        <v>38000</v>
      </c>
      <c r="E34" s="162"/>
      <c r="F34" s="207"/>
      <c r="G34" s="174"/>
      <c r="H34" s="174"/>
      <c r="I34" s="174"/>
      <c r="J34" s="174"/>
      <c r="K34" s="174"/>
      <c r="L34" s="174"/>
      <c r="M34" s="174">
        <v>38000</v>
      </c>
      <c r="N34" s="174"/>
      <c r="O34" s="171">
        <f t="shared" si="1"/>
        <v>38000</v>
      </c>
      <c r="P34" s="174"/>
      <c r="Q34" s="171">
        <f t="shared" si="2"/>
        <v>38000</v>
      </c>
      <c r="R34" s="172">
        <f t="shared" si="0"/>
        <v>0.60306682938869771</v>
      </c>
      <c r="S34" s="65" t="b">
        <f t="shared" si="3"/>
        <v>1</v>
      </c>
      <c r="T34" s="173"/>
    </row>
    <row r="35" spans="1:20" ht="56.1" customHeight="1" x14ac:dyDescent="0.4">
      <c r="A35" s="166" t="str">
        <f>'Quadro Geral'!A36</f>
        <v>Presidência</v>
      </c>
      <c r="B35" s="167">
        <f>'Quadro Geral'!D36</f>
        <v>0</v>
      </c>
      <c r="C35" s="168" t="str">
        <f>'Quadro Geral'!E36</f>
        <v>Aquisição sede CAU/BA</v>
      </c>
      <c r="D35" s="169">
        <f>'Quadro Geral'!M36</f>
        <v>2000000</v>
      </c>
      <c r="E35" s="162"/>
      <c r="F35" s="207"/>
      <c r="G35" s="174"/>
      <c r="H35" s="174"/>
      <c r="I35" s="174"/>
      <c r="J35" s="174"/>
      <c r="K35" s="174"/>
      <c r="L35" s="174"/>
      <c r="M35" s="174"/>
      <c r="N35" s="174"/>
      <c r="O35" s="171">
        <f t="shared" si="1"/>
        <v>0</v>
      </c>
      <c r="P35" s="174">
        <v>2000000</v>
      </c>
      <c r="Q35" s="171">
        <f t="shared" si="2"/>
        <v>2000000</v>
      </c>
      <c r="R35" s="172">
        <f t="shared" si="0"/>
        <v>31.740359441510407</v>
      </c>
      <c r="S35" s="65" t="b">
        <f t="shared" si="3"/>
        <v>1</v>
      </c>
      <c r="T35" s="173"/>
    </row>
    <row r="36" spans="1:20" ht="210" x14ac:dyDescent="0.4">
      <c r="A36" s="166" t="str">
        <f>'Quadro Geral'!A37</f>
        <v>Plenária</v>
      </c>
      <c r="B36" s="167">
        <f>'Quadro Geral'!D37</f>
        <v>0</v>
      </c>
      <c r="C36" s="168" t="str">
        <f>'Quadro Geral'!E37</f>
        <v>Consultoria Jurídica para enfrentar matéria tributária que alcança o exercício profissional referentes ao ISSQN</v>
      </c>
      <c r="D36" s="169">
        <f>'Quadro Geral'!M37</f>
        <v>0</v>
      </c>
      <c r="E36" s="162"/>
      <c r="F36" s="174"/>
      <c r="G36" s="174"/>
      <c r="H36" s="174"/>
      <c r="I36" s="174"/>
      <c r="J36" s="174"/>
      <c r="K36" s="174"/>
      <c r="L36" s="174"/>
      <c r="M36" s="174"/>
      <c r="N36" s="174"/>
      <c r="O36" s="171">
        <f t="shared" si="1"/>
        <v>0</v>
      </c>
      <c r="P36" s="174"/>
      <c r="Q36" s="171">
        <f t="shared" si="2"/>
        <v>0</v>
      </c>
      <c r="R36" s="172">
        <f t="shared" si="0"/>
        <v>0</v>
      </c>
      <c r="S36" s="65" t="b">
        <f t="shared" si="3"/>
        <v>1</v>
      </c>
      <c r="T36" s="272"/>
    </row>
    <row r="37" spans="1:20" ht="56.1" customHeight="1" x14ac:dyDescent="0.4">
      <c r="A37" s="166" t="str">
        <f>'Quadro Geral'!A38</f>
        <v>Plenária</v>
      </c>
      <c r="B37" s="167">
        <f>'Quadro Geral'!D38</f>
        <v>0</v>
      </c>
      <c r="C37" s="168" t="str">
        <f>'Quadro Geral'!E38</f>
        <v>Concurso</v>
      </c>
      <c r="D37" s="169">
        <f>'Quadro Geral'!M38</f>
        <v>20621.740000000002</v>
      </c>
      <c r="E37" s="162"/>
      <c r="F37" s="174"/>
      <c r="G37" s="174"/>
      <c r="H37" s="174"/>
      <c r="I37" s="174"/>
      <c r="J37" s="174"/>
      <c r="K37" s="174">
        <v>20621.740000000002</v>
      </c>
      <c r="L37" s="174"/>
      <c r="M37" s="174"/>
      <c r="N37" s="174"/>
      <c r="O37" s="171">
        <f t="shared" si="1"/>
        <v>20621.740000000002</v>
      </c>
      <c r="P37" s="174"/>
      <c r="Q37" s="171">
        <f t="shared" si="2"/>
        <v>20621.740000000002</v>
      </c>
      <c r="R37" s="172">
        <f t="shared" si="0"/>
        <v>0.32727071995468648</v>
      </c>
      <c r="S37" s="65" t="b">
        <f t="shared" si="3"/>
        <v>1</v>
      </c>
      <c r="T37" s="173"/>
    </row>
    <row r="38" spans="1:20" s="178" customFormat="1" ht="56.1" customHeight="1" x14ac:dyDescent="0.4">
      <c r="A38" s="595" t="s">
        <v>51</v>
      </c>
      <c r="B38" s="595"/>
      <c r="C38" s="595"/>
      <c r="D38" s="175">
        <f>SUM(D7:D37)</f>
        <v>6301125.8700000001</v>
      </c>
      <c r="E38" s="162"/>
      <c r="F38" s="176">
        <f t="shared" ref="F38:R38" si="4">SUM(F7:F37)</f>
        <v>1433305.49</v>
      </c>
      <c r="G38" s="176">
        <f t="shared" si="4"/>
        <v>0</v>
      </c>
      <c r="H38" s="176">
        <f t="shared" si="4"/>
        <v>36000</v>
      </c>
      <c r="I38" s="176">
        <f t="shared" si="4"/>
        <v>105309.48999999999</v>
      </c>
      <c r="J38" s="176">
        <f t="shared" si="4"/>
        <v>97250</v>
      </c>
      <c r="K38" s="176">
        <f t="shared" si="4"/>
        <v>1194787.8399999999</v>
      </c>
      <c r="L38" s="176">
        <f t="shared" si="4"/>
        <v>479610.86</v>
      </c>
      <c r="M38" s="176">
        <f t="shared" si="4"/>
        <v>38000</v>
      </c>
      <c r="N38" s="176">
        <f t="shared" si="4"/>
        <v>77430</v>
      </c>
      <c r="O38" s="176">
        <f t="shared" si="4"/>
        <v>3461693.6799999997</v>
      </c>
      <c r="P38" s="176">
        <f t="shared" si="4"/>
        <v>2839432.19</v>
      </c>
      <c r="Q38" s="176">
        <f t="shared" si="4"/>
        <v>6301125.8700000001</v>
      </c>
      <c r="R38" s="596">
        <f t="shared" si="4"/>
        <v>99.999999999999972</v>
      </c>
      <c r="S38" s="65" t="b">
        <f>D38=Q38</f>
        <v>1</v>
      </c>
      <c r="T38" s="177"/>
    </row>
    <row r="39" spans="1:20" s="178" customFormat="1" ht="56.1" customHeight="1" x14ac:dyDescent="0.4">
      <c r="A39" s="595" t="s">
        <v>47</v>
      </c>
      <c r="B39" s="595"/>
      <c r="C39" s="595"/>
      <c r="D39" s="595"/>
      <c r="E39" s="162"/>
      <c r="F39" s="179">
        <f>IFERROR(F38/$Q38*100,0)</f>
        <v>22.746815721045103</v>
      </c>
      <c r="G39" s="179">
        <f t="shared" ref="G39:Q39" si="5">IFERROR(G38/$Q38*100,0)</f>
        <v>0</v>
      </c>
      <c r="H39" s="179">
        <f t="shared" si="5"/>
        <v>0.57132646994718739</v>
      </c>
      <c r="I39" s="179">
        <f t="shared" si="5"/>
        <v>1.6712805326010729</v>
      </c>
      <c r="J39" s="179">
        <f t="shared" si="5"/>
        <v>1.5433749778434436</v>
      </c>
      <c r="K39" s="179">
        <f t="shared" si="5"/>
        <v>18.96149774897291</v>
      </c>
      <c r="L39" s="179">
        <f t="shared" si="5"/>
        <v>7.611510544225963</v>
      </c>
      <c r="M39" s="179">
        <f t="shared" si="5"/>
        <v>0.60306682938869771</v>
      </c>
      <c r="N39" s="179">
        <f t="shared" si="5"/>
        <v>1.2288280157780755</v>
      </c>
      <c r="O39" s="179">
        <f t="shared" si="5"/>
        <v>54.937700839802453</v>
      </c>
      <c r="P39" s="179">
        <f t="shared" si="5"/>
        <v>45.06229916019754</v>
      </c>
      <c r="Q39" s="179">
        <f t="shared" si="5"/>
        <v>100</v>
      </c>
      <c r="R39" s="596"/>
      <c r="T39" s="177"/>
    </row>
    <row r="40" spans="1:20" s="180" customFormat="1" ht="28.5" customHeight="1" x14ac:dyDescent="0.4">
      <c r="B40" s="181"/>
      <c r="C40" s="181"/>
      <c r="D40" s="65" t="b">
        <f>D38='Anexo 1. Fontes e Aplicações'!F37</f>
        <v>1</v>
      </c>
      <c r="E40" s="162"/>
      <c r="F40" s="65" t="b">
        <f>F38='Anexo 2. Limites Estratégicos'!N5</f>
        <v>0</v>
      </c>
      <c r="H40" s="181" t="s">
        <v>189</v>
      </c>
      <c r="I40" s="181"/>
      <c r="J40" s="181"/>
      <c r="K40" s="181"/>
      <c r="L40" s="181"/>
      <c r="M40" s="181"/>
      <c r="N40" s="181"/>
      <c r="O40" s="181"/>
      <c r="P40" s="65" t="b">
        <f>P38='Anexo 1. Fontes e Aplicações'!B55</f>
        <v>1</v>
      </c>
      <c r="Q40" s="181"/>
      <c r="R40" s="181"/>
      <c r="T40" s="173"/>
    </row>
    <row r="41" spans="1:20" s="180" customFormat="1" ht="56.1" customHeight="1" x14ac:dyDescent="0.4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T41" s="173"/>
    </row>
    <row r="42" spans="1:20" s="180" customFormat="1" ht="56.1" customHeight="1" x14ac:dyDescent="0.4">
      <c r="A42" s="597" t="s">
        <v>214</v>
      </c>
      <c r="B42" s="598"/>
      <c r="C42" s="598"/>
      <c r="D42" s="598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9"/>
      <c r="T42" s="173"/>
    </row>
    <row r="43" spans="1:20" s="180" customFormat="1" ht="51.75" customHeight="1" x14ac:dyDescent="0.35">
      <c r="A43" s="585" t="s">
        <v>374</v>
      </c>
      <c r="B43" s="586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7"/>
    </row>
    <row r="44" spans="1:20" s="180" customFormat="1" ht="51.75" customHeight="1" x14ac:dyDescent="0.35">
      <c r="A44" s="588"/>
      <c r="B44" s="589"/>
      <c r="C44" s="589"/>
      <c r="D44" s="589"/>
      <c r="E44" s="589"/>
      <c r="F44" s="589"/>
      <c r="G44" s="589"/>
      <c r="H44" s="589"/>
      <c r="I44" s="589"/>
      <c r="J44" s="589"/>
      <c r="K44" s="589"/>
      <c r="L44" s="589"/>
      <c r="M44" s="589"/>
      <c r="N44" s="589"/>
      <c r="O44" s="589"/>
      <c r="P44" s="589"/>
      <c r="Q44" s="589"/>
      <c r="R44" s="590"/>
    </row>
    <row r="45" spans="1:20" s="180" customFormat="1" ht="51.75" customHeight="1" x14ac:dyDescent="0.35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90"/>
    </row>
    <row r="46" spans="1:20" s="180" customFormat="1" ht="51.75" customHeight="1" x14ac:dyDescent="0.35">
      <c r="A46" s="588"/>
      <c r="B46" s="589"/>
      <c r="C46" s="589"/>
      <c r="D46" s="589"/>
      <c r="E46" s="589"/>
      <c r="F46" s="589"/>
      <c r="G46" s="589"/>
      <c r="H46" s="589"/>
      <c r="I46" s="589"/>
      <c r="J46" s="589"/>
      <c r="K46" s="589"/>
      <c r="L46" s="589"/>
      <c r="M46" s="589"/>
      <c r="N46" s="589"/>
      <c r="O46" s="589"/>
      <c r="P46" s="589"/>
      <c r="Q46" s="589"/>
      <c r="R46" s="590"/>
    </row>
    <row r="47" spans="1:20" s="180" customFormat="1" ht="51.75" customHeight="1" x14ac:dyDescent="0.35">
      <c r="A47" s="588"/>
      <c r="B47" s="589"/>
      <c r="C47" s="589"/>
      <c r="D47" s="589"/>
      <c r="E47" s="589"/>
      <c r="F47" s="589"/>
      <c r="G47" s="589"/>
      <c r="H47" s="589"/>
      <c r="I47" s="589"/>
      <c r="J47" s="589"/>
      <c r="K47" s="589"/>
      <c r="L47" s="589"/>
      <c r="M47" s="589"/>
      <c r="N47" s="589"/>
      <c r="O47" s="589"/>
      <c r="P47" s="589"/>
      <c r="Q47" s="589"/>
      <c r="R47" s="590"/>
    </row>
    <row r="48" spans="1:20" s="180" customFormat="1" ht="51.75" customHeight="1" x14ac:dyDescent="0.35">
      <c r="A48" s="588"/>
      <c r="B48" s="589"/>
      <c r="C48" s="589"/>
      <c r="D48" s="589"/>
      <c r="E48" s="589"/>
      <c r="F48" s="589"/>
      <c r="G48" s="589"/>
      <c r="H48" s="589"/>
      <c r="I48" s="589"/>
      <c r="J48" s="589"/>
      <c r="K48" s="589"/>
      <c r="L48" s="589"/>
      <c r="M48" s="589"/>
      <c r="N48" s="589"/>
      <c r="O48" s="589"/>
      <c r="P48" s="589"/>
      <c r="Q48" s="589"/>
      <c r="R48" s="590"/>
    </row>
    <row r="49" spans="1:18" s="180" customFormat="1" ht="51.75" customHeight="1" x14ac:dyDescent="0.35">
      <c r="A49" s="588"/>
      <c r="B49" s="589"/>
      <c r="C49" s="589"/>
      <c r="D49" s="589"/>
      <c r="E49" s="589"/>
      <c r="F49" s="589"/>
      <c r="G49" s="589"/>
      <c r="H49" s="589"/>
      <c r="I49" s="589"/>
      <c r="J49" s="589"/>
      <c r="K49" s="589"/>
      <c r="L49" s="589"/>
      <c r="M49" s="589"/>
      <c r="N49" s="589"/>
      <c r="O49" s="589"/>
      <c r="P49" s="589"/>
      <c r="Q49" s="589"/>
      <c r="R49" s="590"/>
    </row>
    <row r="50" spans="1:18" s="183" customFormat="1" ht="51.75" customHeight="1" x14ac:dyDescent="0.35">
      <c r="A50" s="588"/>
      <c r="B50" s="589"/>
      <c r="C50" s="589"/>
      <c r="D50" s="589"/>
      <c r="E50" s="589"/>
      <c r="F50" s="589"/>
      <c r="G50" s="589"/>
      <c r="H50" s="589"/>
      <c r="I50" s="589"/>
      <c r="J50" s="589"/>
      <c r="K50" s="589"/>
      <c r="L50" s="589"/>
      <c r="M50" s="589"/>
      <c r="N50" s="589"/>
      <c r="O50" s="589"/>
      <c r="P50" s="589"/>
      <c r="Q50" s="589"/>
      <c r="R50" s="590"/>
    </row>
    <row r="51" spans="1:18" ht="51.75" customHeight="1" x14ac:dyDescent="0.4">
      <c r="A51" s="588"/>
      <c r="B51" s="589"/>
      <c r="C51" s="589"/>
      <c r="D51" s="589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90"/>
    </row>
    <row r="52" spans="1:18" ht="113.25" customHeight="1" x14ac:dyDescent="0.4">
      <c r="A52" s="591"/>
      <c r="B52" s="592"/>
      <c r="C52" s="592"/>
      <c r="D52" s="592"/>
      <c r="E52" s="592"/>
      <c r="F52" s="592"/>
      <c r="G52" s="592"/>
      <c r="H52" s="592"/>
      <c r="I52" s="592"/>
      <c r="J52" s="592"/>
      <c r="K52" s="592"/>
      <c r="L52" s="592"/>
      <c r="M52" s="592"/>
      <c r="N52" s="592"/>
      <c r="O52" s="592"/>
      <c r="P52" s="592"/>
      <c r="Q52" s="592"/>
      <c r="R52" s="593"/>
    </row>
  </sheetData>
  <mergeCells count="24">
    <mergeCell ref="A2:R2"/>
    <mergeCell ref="A43:R52"/>
    <mergeCell ref="S5:S6"/>
    <mergeCell ref="A38:C38"/>
    <mergeCell ref="R38:R39"/>
    <mergeCell ref="A39:D39"/>
    <mergeCell ref="A42:R42"/>
    <mergeCell ref="M5:M6"/>
    <mergeCell ref="N5:N6"/>
    <mergeCell ref="O5:O6"/>
    <mergeCell ref="P5:P6"/>
    <mergeCell ref="Q5:Q6"/>
    <mergeCell ref="R5:R6"/>
    <mergeCell ref="V5:V6"/>
    <mergeCell ref="W5:Z6"/>
    <mergeCell ref="A3:R3"/>
    <mergeCell ref="A5:A6"/>
    <mergeCell ref="B5:B6"/>
    <mergeCell ref="C5:C6"/>
    <mergeCell ref="D5:D6"/>
    <mergeCell ref="F5:G5"/>
    <mergeCell ref="H5:H6"/>
    <mergeCell ref="I5:K5"/>
    <mergeCell ref="L5:L6"/>
  </mergeCells>
  <conditionalFormatting sqref="S7:S38">
    <cfRule type="cellIs" dxfId="3" priority="4" operator="equal">
      <formula>TRUE</formula>
    </cfRule>
  </conditionalFormatting>
  <conditionalFormatting sqref="D40">
    <cfRule type="cellIs" dxfId="2" priority="3" operator="equal">
      <formula>TRUE</formula>
    </cfRule>
  </conditionalFormatting>
  <conditionalFormatting sqref="F40">
    <cfRule type="cellIs" dxfId="1" priority="2" operator="equal">
      <formula>TRUE</formula>
    </cfRule>
  </conditionalFormatting>
  <conditionalFormatting sqref="P40">
    <cfRule type="cellIs" dxfId="0" priority="1" operator="equal">
      <formula>TRUE</formula>
    </cfRule>
  </conditionalFormatting>
  <pageMargins left="0.51181102362204722" right="0.51181102362204722" top="0.78740157480314965" bottom="0.78740157480314965" header="0.31496062992125984" footer="0.31496062992125984"/>
  <pageSetup scale="4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="30" zoomScaleNormal="30" workbookViewId="0">
      <selection activeCell="R22" sqref="R22"/>
    </sheetView>
  </sheetViews>
  <sheetFormatPr defaultRowHeight="64.5" x14ac:dyDescent="0.95"/>
  <cols>
    <col min="2" max="2" width="94.85546875" bestFit="1" customWidth="1"/>
    <col min="5" max="5" width="39.5703125" customWidth="1"/>
    <col min="6" max="6" width="59.5703125" customWidth="1"/>
    <col min="14" max="14" width="97.28515625" customWidth="1"/>
    <col min="17" max="17" width="132.85546875" style="76" bestFit="1" customWidth="1"/>
  </cols>
  <sheetData>
    <row r="1" spans="1:17" x14ac:dyDescent="0.95">
      <c r="A1" s="67"/>
      <c r="B1" s="68" t="s">
        <v>109</v>
      </c>
      <c r="C1" s="66"/>
      <c r="D1" s="66"/>
      <c r="E1" s="66"/>
      <c r="F1" s="62" t="s">
        <v>74</v>
      </c>
      <c r="G1" s="66"/>
      <c r="H1" s="67"/>
      <c r="I1" s="67"/>
      <c r="N1" s="72" t="s">
        <v>183</v>
      </c>
      <c r="Q1" s="76" t="s">
        <v>26</v>
      </c>
    </row>
    <row r="2" spans="1:17" x14ac:dyDescent="0.95">
      <c r="A2" s="67"/>
      <c r="B2" s="68" t="s">
        <v>117</v>
      </c>
      <c r="C2" s="66"/>
      <c r="D2" s="66"/>
      <c r="E2" s="66"/>
      <c r="F2" s="62" t="s">
        <v>48</v>
      </c>
      <c r="G2" s="66"/>
      <c r="H2" s="67"/>
      <c r="I2" s="67"/>
      <c r="N2" s="72" t="s">
        <v>184</v>
      </c>
      <c r="Q2" s="76" t="s">
        <v>185</v>
      </c>
    </row>
    <row r="3" spans="1:17" x14ac:dyDescent="0.95">
      <c r="A3" s="67"/>
      <c r="B3" s="68" t="s">
        <v>118</v>
      </c>
      <c r="C3" s="66"/>
      <c r="D3" s="66"/>
      <c r="E3" s="66"/>
      <c r="F3" s="601" t="s">
        <v>43</v>
      </c>
      <c r="G3" s="66"/>
      <c r="H3" s="67"/>
      <c r="I3" s="67"/>
      <c r="N3" s="72" t="s">
        <v>137</v>
      </c>
      <c r="Q3" s="76" t="s">
        <v>27</v>
      </c>
    </row>
    <row r="4" spans="1:17" x14ac:dyDescent="0.95">
      <c r="A4" s="67"/>
      <c r="B4" s="68"/>
      <c r="C4" s="66"/>
      <c r="D4" s="66"/>
      <c r="E4" s="66"/>
      <c r="F4" s="601"/>
      <c r="G4" s="66"/>
      <c r="H4" s="67"/>
      <c r="I4" s="67"/>
      <c r="N4" s="72" t="s">
        <v>138</v>
      </c>
      <c r="Q4" s="76" t="s">
        <v>134</v>
      </c>
    </row>
    <row r="5" spans="1:17" x14ac:dyDescent="0.95">
      <c r="A5" s="67"/>
      <c r="B5" s="68" t="s">
        <v>119</v>
      </c>
      <c r="C5" s="66"/>
      <c r="D5" s="66"/>
      <c r="E5" s="66"/>
      <c r="F5" s="69" t="s">
        <v>174</v>
      </c>
      <c r="G5" s="69"/>
      <c r="H5" s="69"/>
      <c r="I5" s="69"/>
      <c r="J5" s="69"/>
      <c r="N5" s="73" t="s">
        <v>140</v>
      </c>
      <c r="Q5" s="76" t="s">
        <v>29</v>
      </c>
    </row>
    <row r="6" spans="1:17" ht="236.25" customHeight="1" x14ac:dyDescent="0.95">
      <c r="A6" s="67"/>
      <c r="B6" s="68" t="s">
        <v>110</v>
      </c>
      <c r="C6" s="66"/>
      <c r="D6" s="66"/>
      <c r="E6" s="66"/>
      <c r="F6" s="69" t="s">
        <v>175</v>
      </c>
      <c r="G6" s="66"/>
      <c r="H6" s="67"/>
      <c r="I6" s="67"/>
      <c r="N6" s="73" t="s">
        <v>141</v>
      </c>
      <c r="Q6" s="76" t="s">
        <v>155</v>
      </c>
    </row>
    <row r="7" spans="1:17" x14ac:dyDescent="0.95">
      <c r="A7" s="67"/>
      <c r="B7" s="68" t="s">
        <v>120</v>
      </c>
      <c r="C7" s="66"/>
      <c r="D7" s="66"/>
      <c r="E7" s="66"/>
      <c r="F7" s="69" t="s">
        <v>176</v>
      </c>
      <c r="G7" s="66"/>
      <c r="H7" s="67"/>
      <c r="I7" s="67"/>
      <c r="N7" s="73" t="s">
        <v>143</v>
      </c>
      <c r="Q7" s="76" t="s">
        <v>186</v>
      </c>
    </row>
    <row r="8" spans="1:17" x14ac:dyDescent="0.95">
      <c r="A8" s="67"/>
      <c r="B8" s="68" t="s">
        <v>129</v>
      </c>
      <c r="C8" s="66"/>
      <c r="D8" s="66"/>
      <c r="E8" s="66"/>
      <c r="F8" s="69" t="s">
        <v>177</v>
      </c>
      <c r="G8" s="66"/>
      <c r="H8" s="67"/>
      <c r="I8" s="67"/>
      <c r="N8" s="72" t="s">
        <v>146</v>
      </c>
      <c r="Q8" s="76" t="s">
        <v>145</v>
      </c>
    </row>
    <row r="9" spans="1:17" x14ac:dyDescent="0.95">
      <c r="A9" s="67"/>
      <c r="B9" s="68" t="s">
        <v>111</v>
      </c>
      <c r="C9" s="66"/>
      <c r="D9" s="66"/>
      <c r="E9" s="66"/>
      <c r="F9" s="69" t="s">
        <v>178</v>
      </c>
      <c r="G9" s="66"/>
      <c r="H9" s="67"/>
      <c r="I9" s="67"/>
      <c r="N9" s="72" t="s">
        <v>148</v>
      </c>
      <c r="Q9" s="76" t="s">
        <v>32</v>
      </c>
    </row>
    <row r="10" spans="1:17" x14ac:dyDescent="0.95">
      <c r="A10" s="67"/>
      <c r="B10" s="68" t="s">
        <v>121</v>
      </c>
      <c r="C10" s="66"/>
      <c r="D10" s="66"/>
      <c r="E10" s="66"/>
      <c r="F10" s="75" t="s">
        <v>187</v>
      </c>
      <c r="G10" s="66"/>
      <c r="H10" s="67"/>
      <c r="I10" s="67"/>
      <c r="N10" s="73" t="s">
        <v>150</v>
      </c>
      <c r="Q10" s="76" t="s">
        <v>33</v>
      </c>
    </row>
    <row r="11" spans="1:17" x14ac:dyDescent="0.95">
      <c r="A11" s="67"/>
      <c r="B11" s="68" t="s">
        <v>112</v>
      </c>
      <c r="C11" s="66"/>
      <c r="D11" s="66"/>
      <c r="E11" s="66"/>
      <c r="F11" s="66" t="s">
        <v>45</v>
      </c>
      <c r="G11" s="66"/>
      <c r="H11" s="67"/>
      <c r="I11" s="67"/>
      <c r="N11" s="72" t="s">
        <v>151</v>
      </c>
      <c r="Q11" s="76" t="s">
        <v>34</v>
      </c>
    </row>
    <row r="12" spans="1:17" x14ac:dyDescent="0.95">
      <c r="A12" s="67"/>
      <c r="B12" s="68" t="s">
        <v>113</v>
      </c>
      <c r="C12" s="66"/>
      <c r="D12" s="66"/>
      <c r="E12" s="66"/>
      <c r="F12" s="66" t="s">
        <v>2</v>
      </c>
      <c r="G12" s="66"/>
      <c r="H12" s="67"/>
      <c r="I12" s="67"/>
      <c r="N12" s="72" t="s">
        <v>153</v>
      </c>
      <c r="Q12" s="76" t="s">
        <v>35</v>
      </c>
    </row>
    <row r="13" spans="1:17" x14ac:dyDescent="0.95">
      <c r="A13" s="67"/>
      <c r="B13" s="68" t="s">
        <v>122</v>
      </c>
      <c r="C13" s="66"/>
      <c r="D13" s="66"/>
      <c r="E13" s="66"/>
      <c r="F13" s="66"/>
      <c r="G13" s="66"/>
      <c r="H13" s="67"/>
      <c r="I13" s="67"/>
      <c r="N13" s="73" t="s">
        <v>156</v>
      </c>
      <c r="Q13" s="76" t="s">
        <v>36</v>
      </c>
    </row>
    <row r="14" spans="1:17" x14ac:dyDescent="0.95">
      <c r="A14" s="67"/>
      <c r="B14" s="68" t="s">
        <v>123</v>
      </c>
      <c r="C14" s="66"/>
      <c r="D14" s="66"/>
      <c r="E14" s="66"/>
      <c r="F14" s="66"/>
      <c r="G14" s="66"/>
      <c r="H14" s="67"/>
      <c r="I14" s="67"/>
      <c r="N14" s="73" t="s">
        <v>158</v>
      </c>
      <c r="Q14" s="76" t="s">
        <v>37</v>
      </c>
    </row>
    <row r="15" spans="1:17" ht="110.25" customHeight="1" x14ac:dyDescent="0.95">
      <c r="A15" s="67"/>
      <c r="B15" s="68" t="s">
        <v>114</v>
      </c>
      <c r="C15" s="66"/>
      <c r="D15" s="66"/>
      <c r="E15" s="66"/>
      <c r="F15" s="66"/>
      <c r="G15" s="66"/>
      <c r="H15" s="67"/>
      <c r="I15" s="67"/>
      <c r="N15" s="72" t="s">
        <v>160</v>
      </c>
      <c r="Q15" s="76" t="s">
        <v>38</v>
      </c>
    </row>
    <row r="16" spans="1:17" x14ac:dyDescent="0.95">
      <c r="A16" s="67"/>
      <c r="B16" s="68" t="s">
        <v>124</v>
      </c>
      <c r="C16" s="66"/>
      <c r="D16" s="66"/>
      <c r="E16" s="66"/>
      <c r="F16" s="66"/>
      <c r="G16" s="66"/>
      <c r="H16" s="67"/>
      <c r="I16" s="67"/>
      <c r="N16" s="72" t="s">
        <v>162</v>
      </c>
      <c r="Q16" s="76" t="s">
        <v>39</v>
      </c>
    </row>
    <row r="17" spans="1:14" x14ac:dyDescent="0.95">
      <c r="A17" s="67"/>
      <c r="B17" s="68" t="s">
        <v>115</v>
      </c>
      <c r="C17" s="66"/>
      <c r="D17" s="66"/>
      <c r="E17" s="66"/>
      <c r="F17" s="66"/>
      <c r="G17" s="66"/>
      <c r="H17" s="67"/>
      <c r="I17" s="67"/>
      <c r="N17" s="72" t="s">
        <v>164</v>
      </c>
    </row>
    <row r="18" spans="1:14" x14ac:dyDescent="0.95">
      <c r="A18" s="67"/>
      <c r="B18" s="68" t="s">
        <v>116</v>
      </c>
      <c r="C18" s="66"/>
      <c r="D18" s="66"/>
      <c r="E18" s="66"/>
      <c r="F18" s="66"/>
      <c r="G18" s="66"/>
      <c r="H18" s="67"/>
      <c r="I18" s="67"/>
      <c r="N18" s="73" t="s">
        <v>166</v>
      </c>
    </row>
    <row r="19" spans="1:14" x14ac:dyDescent="0.95">
      <c r="N19" s="73" t="s">
        <v>168</v>
      </c>
    </row>
    <row r="20" spans="1:14" x14ac:dyDescent="0.95">
      <c r="N20" s="73" t="s">
        <v>170</v>
      </c>
    </row>
    <row r="21" spans="1:14" x14ac:dyDescent="0.95">
      <c r="N21" s="73" t="s">
        <v>172</v>
      </c>
    </row>
  </sheetData>
  <mergeCells count="1">
    <mergeCell ref="F3:F4"/>
  </mergeCells>
  <pageMargins left="0.511811024" right="0.511811024" top="0.78740157499999996" bottom="0.78740157499999996" header="0.31496062000000002" footer="0.31496062000000002"/>
  <pageSetup paperSize="2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4</vt:i4>
      </vt:variant>
    </vt:vector>
  </HeadingPairs>
  <TitlesOfParts>
    <vt:vector size="14" baseType="lpstr">
      <vt:lpstr>Resumo (2)</vt:lpstr>
      <vt:lpstr>Orientações Iniciais</vt:lpstr>
      <vt:lpstr>Mapa Estratégico e ODS</vt:lpstr>
      <vt:lpstr>Indicadores e Metas</vt:lpstr>
      <vt:lpstr>Quadro Geral</vt:lpstr>
      <vt:lpstr>Anexo 1. Fontes e Aplicações</vt:lpstr>
      <vt:lpstr>Anexo 2. Limites Estratégicos</vt:lpstr>
      <vt:lpstr>Anexo 3. Elemento de Despesas</vt:lpstr>
      <vt:lpstr>Resumo</vt:lpstr>
      <vt:lpstr>AÇÕES ESTRATÉGICAS - DESCRIÇÃO</vt:lpstr>
      <vt:lpstr>'Anexo 1. Fontes e Aplicações'!Area_de_impressao</vt:lpstr>
      <vt:lpstr>'Indicadores e Metas'!Area_de_impressao</vt:lpstr>
      <vt:lpstr>'Mapa Estratégico e ODS'!Area_de_impressao</vt:lpstr>
      <vt:lpstr>'Quadro Geral'!Area_de_impressao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Ralfe Vinhas</cp:lastModifiedBy>
  <cp:lastPrinted>2021-08-02T17:29:26Z</cp:lastPrinted>
  <dcterms:created xsi:type="dcterms:W3CDTF">2013-07-30T15:20:59Z</dcterms:created>
  <dcterms:modified xsi:type="dcterms:W3CDTF">2021-10-18T11:51:14Z</dcterms:modified>
</cp:coreProperties>
</file>