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sldx" ContentType="application/vnd.openxmlformats-officedocument.presentationml.slide"/>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comments27.xml" ContentType="application/vnd.openxmlformats-officedocument.spreadsheetml.comments+xml"/>
  <Override PartName="/xl/drawings/drawing30.xml" ContentType="application/vnd.openxmlformats-officedocument.drawing+xml"/>
  <Override PartName="/xl/comments28.xml" ContentType="application/vnd.openxmlformats-officedocument.spreadsheetml.comments+xml"/>
  <Override PartName="/xl/drawings/drawing31.xml" ContentType="application/vnd.openxmlformats-officedocument.drawing+xml"/>
  <Override PartName="/xl/comments29.xml" ContentType="application/vnd.openxmlformats-officedocument.spreadsheetml.comments+xml"/>
  <Override PartName="/xl/drawings/drawing32.xml" ContentType="application/vnd.openxmlformats-officedocument.drawing+xml"/>
  <Override PartName="/xl/comments30.xml" ContentType="application/vnd.openxmlformats-officedocument.spreadsheetml.comments+xml"/>
  <Override PartName="/xl/drawings/drawing33.xml" ContentType="application/vnd.openxmlformats-officedocument.drawing+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C:\Users\ralfe.vinhas\Desktop\Financeiro\Reprogramação 2020\"/>
    </mc:Choice>
  </mc:AlternateContent>
  <bookViews>
    <workbookView xWindow="0" yWindow="0" windowWidth="24000" windowHeight="9735" tabRatio="884" firstSheet="1" activeTab="2"/>
  </bookViews>
  <sheets>
    <sheet name="Orientações Iniciais" sheetId="29" state="hidden" r:id="rId1"/>
    <sheet name="Mapa Estratégico e ODS" sheetId="17" r:id="rId2"/>
    <sheet name="Indicadores e Metas" sheetId="30" r:id="rId3"/>
    <sheet name="Quadro Geral" sheetId="15" r:id="rId4"/>
    <sheet name="Anexo 1. Usos e Fontes" sheetId="8" r:id="rId5"/>
    <sheet name="Anexo 2. Limites Estratégicos" sheetId="23" r:id="rId6"/>
    <sheet name="Anexo 3. Elemento de Despesas" sheetId="18" r:id="rId7"/>
    <sheet name="Anexo 4.-Presidência" sheetId="35" state="hidden" r:id="rId8"/>
    <sheet name="Anexo 4. Direção Geral" sheetId="36" state="hidden" r:id="rId9"/>
    <sheet name="Anexo 4. GETEC" sheetId="37" state="hidden" r:id="rId10"/>
    <sheet name="Anexo 4.GEOP" sheetId="38" state="hidden" r:id="rId11"/>
    <sheet name="Anexo 4.Gerência ADM FIN" sheetId="39" state="hidden" r:id="rId12"/>
    <sheet name="Anexo 4.ASSEJUR" sheetId="40" state="hidden" r:id="rId13"/>
    <sheet name="Anexo 4.Com. Ética" sheetId="42" state="hidden" r:id="rId14"/>
    <sheet name="Anexo 4.Com. Atos" sheetId="43" state="hidden" r:id="rId15"/>
    <sheet name="Anexo 4. Com Exercício" sheetId="41" state="hidden" r:id="rId16"/>
    <sheet name="Anexo 4.Com. Planejamento" sheetId="44" state="hidden" r:id="rId17"/>
    <sheet name="Anexo 4.Com. Ensino" sheetId="45" state="hidden" r:id="rId18"/>
    <sheet name="Anexo 4.Com. P. Profissional" sheetId="46" state="hidden" r:id="rId19"/>
    <sheet name="Anexo 4.Com. P. Urbanas" sheetId="47" state="hidden" r:id="rId20"/>
    <sheet name="Anexo 4.Plenária" sheetId="48" state="hidden" r:id="rId21"/>
    <sheet name="Anexo 4.Dia do Arquiteto" sheetId="49" state="hidden" r:id="rId22"/>
    <sheet name="Anexo 4.Fundo de Apoio" sheetId="50" state="hidden" r:id="rId23"/>
    <sheet name="Anexo 4.Comunicação" sheetId="51" state="hidden" r:id="rId24"/>
    <sheet name="Anexo 4.G. Atendimento" sheetId="52" state="hidden" r:id="rId25"/>
    <sheet name="Anexo 4. G. Fiscalização" sheetId="53" state="hidden" r:id="rId26"/>
    <sheet name="Anexo 4.CSC Fiscalização" sheetId="55" state="hidden" r:id="rId27"/>
    <sheet name="Anexo 4.CSC Atendimento" sheetId="56" state="hidden" r:id="rId28"/>
    <sheet name="Anexo 4.Reserva Cont." sheetId="57" state="hidden" r:id="rId29"/>
    <sheet name="Anexo 4.Patrocínio" sheetId="59" state="hidden" r:id="rId30"/>
    <sheet name="Anexo 4.APC" sheetId="58" state="hidden" r:id="rId31"/>
    <sheet name="Anexo 4.Capacitação" sheetId="60" state="hidden" r:id="rId32"/>
    <sheet name="Anexo 4.Assist. Técnica " sheetId="34" state="hidden" r:id="rId33"/>
    <sheet name="Resumo" sheetId="31" state="hidden" r:id="rId34"/>
    <sheet name="AÇÕES ESTRATÉGICAS - DESCRIÇÃO " sheetId="32" state="hidden" r:id="rId35"/>
    <sheet name="Planilha1" sheetId="33" state="hidden" r:id="rId36"/>
    <sheet name="Plan1" sheetId="27" state="hidden" r:id="rId37"/>
  </sheets>
  <externalReferences>
    <externalReference r:id="rId38"/>
    <externalReference r:id="rId39"/>
    <externalReference r:id="rId40"/>
    <externalReference r:id="rId41"/>
  </externalReferences>
  <definedNames>
    <definedName name="_xlnm._FilterDatabase" localSheetId="6" hidden="1">'Anexo 3. Elemento de Despesas'!$A$9:$T$58</definedName>
    <definedName name="_xlnm._FilterDatabase" localSheetId="3" hidden="1">'Quadro Geral'!$A$8:$AE$43</definedName>
    <definedName name="A" localSheetId="15">#REF!</definedName>
    <definedName name="A" localSheetId="8">#REF!</definedName>
    <definedName name="A" localSheetId="25">#REF!</definedName>
    <definedName name="A" localSheetId="9">#REF!</definedName>
    <definedName name="A" localSheetId="30">#REF!</definedName>
    <definedName name="A" localSheetId="12">#REF!</definedName>
    <definedName name="A" localSheetId="32">#REF!</definedName>
    <definedName name="A" localSheetId="31">#REF!</definedName>
    <definedName name="A" localSheetId="14">#REF!</definedName>
    <definedName name="A" localSheetId="17">#REF!</definedName>
    <definedName name="A" localSheetId="13">#REF!</definedName>
    <definedName name="A" localSheetId="18">#REF!</definedName>
    <definedName name="A" localSheetId="19">#REF!</definedName>
    <definedName name="A" localSheetId="16">#REF!</definedName>
    <definedName name="A" localSheetId="23">#REF!</definedName>
    <definedName name="A" localSheetId="27">#REF!</definedName>
    <definedName name="A" localSheetId="26">#REF!</definedName>
    <definedName name="A" localSheetId="21">#REF!</definedName>
    <definedName name="A" localSheetId="22">#REF!</definedName>
    <definedName name="A" localSheetId="24">#REF!</definedName>
    <definedName name="A" localSheetId="10">#REF!</definedName>
    <definedName name="A" localSheetId="11">#REF!</definedName>
    <definedName name="A" localSheetId="29">#REF!</definedName>
    <definedName name="A" localSheetId="20">#REF!</definedName>
    <definedName name="A" localSheetId="7">#REF!</definedName>
    <definedName name="A" localSheetId="28">#REF!</definedName>
    <definedName name="A" localSheetId="0">#REF!</definedName>
    <definedName name="A" localSheetId="3">#REF!</definedName>
    <definedName name="A">#REF!</definedName>
    <definedName name="_xlnm.Print_Area" localSheetId="4">'Anexo 1. Usos e Fontes'!$A$1:$I$68</definedName>
    <definedName name="_xlnm.Print_Area" localSheetId="5">'Anexo 2. Limites Estratégicos'!$A$1:$O$32</definedName>
    <definedName name="_xlnm.Print_Area" localSheetId="6">'Anexo 3. Elemento de Despesas'!$A$1:$S$58</definedName>
    <definedName name="_xlnm.Print_Area" localSheetId="2">'Indicadores e Metas'!$A$1:$N$80</definedName>
    <definedName name="_xlnm.Print_Area" localSheetId="1">'Mapa Estratégico e ODS'!$A$1:$L$55</definedName>
    <definedName name="_xlnm.Print_Area" localSheetId="3">'Quadro Geral'!$A$1:$R$44</definedName>
    <definedName name="_xlnm.Database" localSheetId="15">#REF!</definedName>
    <definedName name="_xlnm.Database" localSheetId="8">#REF!</definedName>
    <definedName name="_xlnm.Database" localSheetId="25">#REF!</definedName>
    <definedName name="_xlnm.Database" localSheetId="9">#REF!</definedName>
    <definedName name="_xlnm.Database" localSheetId="30">#REF!</definedName>
    <definedName name="_xlnm.Database" localSheetId="12">#REF!</definedName>
    <definedName name="_xlnm.Database" localSheetId="32">#REF!</definedName>
    <definedName name="_xlnm.Database" localSheetId="31">#REF!</definedName>
    <definedName name="_xlnm.Database" localSheetId="14">#REF!</definedName>
    <definedName name="_xlnm.Database" localSheetId="17">#REF!</definedName>
    <definedName name="_xlnm.Database" localSheetId="13">#REF!</definedName>
    <definedName name="_xlnm.Database" localSheetId="18">#REF!</definedName>
    <definedName name="_xlnm.Database" localSheetId="19">#REF!</definedName>
    <definedName name="_xlnm.Database" localSheetId="16">#REF!</definedName>
    <definedName name="_xlnm.Database" localSheetId="23">#REF!</definedName>
    <definedName name="_xlnm.Database" localSheetId="27">#REF!</definedName>
    <definedName name="_xlnm.Database" localSheetId="26">#REF!</definedName>
    <definedName name="_xlnm.Database" localSheetId="21">#REF!</definedName>
    <definedName name="_xlnm.Database" localSheetId="22">#REF!</definedName>
    <definedName name="_xlnm.Database" localSheetId="24">#REF!</definedName>
    <definedName name="_xlnm.Database" localSheetId="10">#REF!</definedName>
    <definedName name="_xlnm.Database" localSheetId="11">#REF!</definedName>
    <definedName name="_xlnm.Database" localSheetId="29">#REF!</definedName>
    <definedName name="_xlnm.Database" localSheetId="20">#REF!</definedName>
    <definedName name="_xlnm.Database" localSheetId="7">#REF!</definedName>
    <definedName name="_xlnm.Database" localSheetId="28">#REF!</definedName>
    <definedName name="_xlnm.Database" localSheetId="0">#REF!</definedName>
    <definedName name="_xlnm.Database" localSheetId="3">#REF!</definedName>
    <definedName name="_xlnm.Database">#REF!</definedName>
    <definedName name="banco_de_dados_sym" localSheetId="15">#REF!</definedName>
    <definedName name="banco_de_dados_sym" localSheetId="8">#REF!</definedName>
    <definedName name="banco_de_dados_sym" localSheetId="25">#REF!</definedName>
    <definedName name="banco_de_dados_sym" localSheetId="9">#REF!</definedName>
    <definedName name="banco_de_dados_sym" localSheetId="30">#REF!</definedName>
    <definedName name="banco_de_dados_sym" localSheetId="12">#REF!</definedName>
    <definedName name="banco_de_dados_sym" localSheetId="31">#REF!</definedName>
    <definedName name="banco_de_dados_sym" localSheetId="14">#REF!</definedName>
    <definedName name="banco_de_dados_sym" localSheetId="17">#REF!</definedName>
    <definedName name="banco_de_dados_sym" localSheetId="13">#REF!</definedName>
    <definedName name="banco_de_dados_sym" localSheetId="18">#REF!</definedName>
    <definedName name="banco_de_dados_sym" localSheetId="19">#REF!</definedName>
    <definedName name="banco_de_dados_sym" localSheetId="16">#REF!</definedName>
    <definedName name="banco_de_dados_sym" localSheetId="23">#REF!</definedName>
    <definedName name="banco_de_dados_sym" localSheetId="27">#REF!</definedName>
    <definedName name="banco_de_dados_sym" localSheetId="26">#REF!</definedName>
    <definedName name="banco_de_dados_sym" localSheetId="21">#REF!</definedName>
    <definedName name="banco_de_dados_sym" localSheetId="22">#REF!</definedName>
    <definedName name="banco_de_dados_sym" localSheetId="24">#REF!</definedName>
    <definedName name="banco_de_dados_sym" localSheetId="10">#REF!</definedName>
    <definedName name="banco_de_dados_sym" localSheetId="11">#REF!</definedName>
    <definedName name="banco_de_dados_sym" localSheetId="29">#REF!</definedName>
    <definedName name="banco_de_dados_sym" localSheetId="20">#REF!</definedName>
    <definedName name="banco_de_dados_sym" localSheetId="7">#REF!</definedName>
    <definedName name="banco_de_dados_sym" localSheetId="28">#REF!</definedName>
    <definedName name="banco_de_dados_sym">#REF!</definedName>
    <definedName name="_xlnm.Criteria" localSheetId="15">#REF!</definedName>
    <definedName name="_xlnm.Criteria" localSheetId="8">#REF!</definedName>
    <definedName name="_xlnm.Criteria" localSheetId="25">#REF!</definedName>
    <definedName name="_xlnm.Criteria" localSheetId="9">#REF!</definedName>
    <definedName name="_xlnm.Criteria" localSheetId="30">#REF!</definedName>
    <definedName name="_xlnm.Criteria" localSheetId="12">#REF!</definedName>
    <definedName name="_xlnm.Criteria" localSheetId="31">#REF!</definedName>
    <definedName name="_xlnm.Criteria" localSheetId="14">#REF!</definedName>
    <definedName name="_xlnm.Criteria" localSheetId="17">#REF!</definedName>
    <definedName name="_xlnm.Criteria" localSheetId="13">#REF!</definedName>
    <definedName name="_xlnm.Criteria" localSheetId="18">#REF!</definedName>
    <definedName name="_xlnm.Criteria" localSheetId="19">#REF!</definedName>
    <definedName name="_xlnm.Criteria" localSheetId="16">#REF!</definedName>
    <definedName name="_xlnm.Criteria" localSheetId="23">#REF!</definedName>
    <definedName name="_xlnm.Criteria" localSheetId="27">#REF!</definedName>
    <definedName name="_xlnm.Criteria" localSheetId="26">#REF!</definedName>
    <definedName name="_xlnm.Criteria" localSheetId="21">#REF!</definedName>
    <definedName name="_xlnm.Criteria" localSheetId="22">#REF!</definedName>
    <definedName name="_xlnm.Criteria" localSheetId="24">#REF!</definedName>
    <definedName name="_xlnm.Criteria" localSheetId="10">#REF!</definedName>
    <definedName name="_xlnm.Criteria" localSheetId="11">#REF!</definedName>
    <definedName name="_xlnm.Criteria" localSheetId="29">#REF!</definedName>
    <definedName name="_xlnm.Criteria" localSheetId="20">#REF!</definedName>
    <definedName name="_xlnm.Criteria" localSheetId="7">#REF!</definedName>
    <definedName name="_xlnm.Criteria" localSheetId="28">#REF!</definedName>
    <definedName name="_xlnm.Criteria">#REF!</definedName>
    <definedName name="dados" localSheetId="15">#REF!</definedName>
    <definedName name="dados" localSheetId="8">#REF!</definedName>
    <definedName name="dados" localSheetId="25">#REF!</definedName>
    <definedName name="dados" localSheetId="9">#REF!</definedName>
    <definedName name="dados" localSheetId="30">#REF!</definedName>
    <definedName name="dados" localSheetId="12">#REF!</definedName>
    <definedName name="dados" localSheetId="31">#REF!</definedName>
    <definedName name="dados" localSheetId="14">#REF!</definedName>
    <definedName name="dados" localSheetId="17">#REF!</definedName>
    <definedName name="dados" localSheetId="13">#REF!</definedName>
    <definedName name="dados" localSheetId="18">#REF!</definedName>
    <definedName name="dados" localSheetId="19">#REF!</definedName>
    <definedName name="dados" localSheetId="16">#REF!</definedName>
    <definedName name="dados" localSheetId="23">#REF!</definedName>
    <definedName name="dados" localSheetId="27">#REF!</definedName>
    <definedName name="dados" localSheetId="26">#REF!</definedName>
    <definedName name="dados" localSheetId="21">#REF!</definedName>
    <definedName name="dados" localSheetId="22">#REF!</definedName>
    <definedName name="dados" localSheetId="24">#REF!</definedName>
    <definedName name="dados" localSheetId="10">#REF!</definedName>
    <definedName name="dados" localSheetId="11">#REF!</definedName>
    <definedName name="dados" localSheetId="29">#REF!</definedName>
    <definedName name="dados" localSheetId="20">#REF!</definedName>
    <definedName name="dados" localSheetId="7">#REF!</definedName>
    <definedName name="dados" localSheetId="28">#REF!</definedName>
    <definedName name="dados">#REF!</definedName>
    <definedName name="huala" localSheetId="15">#REF!</definedName>
    <definedName name="huala" localSheetId="8">#REF!</definedName>
    <definedName name="huala" localSheetId="25">#REF!</definedName>
    <definedName name="huala" localSheetId="9">#REF!</definedName>
    <definedName name="huala" localSheetId="30">#REF!</definedName>
    <definedName name="huala" localSheetId="12">#REF!</definedName>
    <definedName name="huala" localSheetId="31">#REF!</definedName>
    <definedName name="huala" localSheetId="14">#REF!</definedName>
    <definedName name="huala" localSheetId="17">#REF!</definedName>
    <definedName name="huala" localSheetId="13">#REF!</definedName>
    <definedName name="huala" localSheetId="18">#REF!</definedName>
    <definedName name="huala" localSheetId="19">#REF!</definedName>
    <definedName name="huala" localSheetId="16">#REF!</definedName>
    <definedName name="huala" localSheetId="23">#REF!</definedName>
    <definedName name="huala" localSheetId="27">#REF!</definedName>
    <definedName name="huala" localSheetId="26">#REF!</definedName>
    <definedName name="huala" localSheetId="21">#REF!</definedName>
    <definedName name="huala" localSheetId="22">#REF!</definedName>
    <definedName name="huala" localSheetId="24">#REF!</definedName>
    <definedName name="huala" localSheetId="10">#REF!</definedName>
    <definedName name="huala" localSheetId="11">#REF!</definedName>
    <definedName name="huala" localSheetId="29">#REF!</definedName>
    <definedName name="huala" localSheetId="20">#REF!</definedName>
    <definedName name="huala" localSheetId="7">#REF!</definedName>
    <definedName name="huala" localSheetId="28">#REF!</definedName>
    <definedName name="huala">#REF!</definedName>
    <definedName name="kk" localSheetId="15">#REF!</definedName>
    <definedName name="kk" localSheetId="8">#REF!</definedName>
    <definedName name="kk" localSheetId="25">#REF!</definedName>
    <definedName name="kk" localSheetId="9">#REF!</definedName>
    <definedName name="kk" localSheetId="30">#REF!</definedName>
    <definedName name="kk" localSheetId="12">#REF!</definedName>
    <definedName name="kk" localSheetId="31">#REF!</definedName>
    <definedName name="kk" localSheetId="14">#REF!</definedName>
    <definedName name="kk" localSheetId="17">#REF!</definedName>
    <definedName name="kk" localSheetId="13">#REF!</definedName>
    <definedName name="kk" localSheetId="18">#REF!</definedName>
    <definedName name="kk" localSheetId="19">#REF!</definedName>
    <definedName name="kk" localSheetId="16">#REF!</definedName>
    <definedName name="kk" localSheetId="23">#REF!</definedName>
    <definedName name="kk" localSheetId="27">#REF!</definedName>
    <definedName name="kk" localSheetId="26">#REF!</definedName>
    <definedName name="kk" localSheetId="21">#REF!</definedName>
    <definedName name="kk" localSheetId="22">#REF!</definedName>
    <definedName name="kk" localSheetId="24">#REF!</definedName>
    <definedName name="kk" localSheetId="10">#REF!</definedName>
    <definedName name="kk" localSheetId="11">#REF!</definedName>
    <definedName name="kk" localSheetId="29">#REF!</definedName>
    <definedName name="kk" localSheetId="20">#REF!</definedName>
    <definedName name="kk" localSheetId="7">#REF!</definedName>
    <definedName name="kk" localSheetId="28">#REF!</definedName>
    <definedName name="kk">#REF!</definedName>
    <definedName name="Percentual5">'[1]Estudos - Receita'!$XFB$1:$XFB$20</definedName>
    <definedName name="PJ2anos">'[1]Estudos - Quant. PJ'!$K:$O,'[1]Estudos - Quant. PJ'!$J$2</definedName>
    <definedName name="XFE1048575">#REF!</definedName>
    <definedName name="XFe1048576">#REF!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5" i="59" l="1"/>
  <c r="I25" i="59"/>
  <c r="J25" i="59"/>
  <c r="G25" i="59"/>
  <c r="H26" i="52"/>
  <c r="I26" i="52"/>
  <c r="G26" i="52"/>
  <c r="H26" i="50"/>
  <c r="I26" i="50"/>
  <c r="G26" i="50"/>
  <c r="H26" i="40"/>
  <c r="I26" i="40"/>
  <c r="J26" i="40"/>
  <c r="G26" i="40"/>
  <c r="H26" i="39"/>
  <c r="I26" i="39"/>
  <c r="J26" i="39"/>
  <c r="G26" i="39"/>
  <c r="H26" i="38"/>
  <c r="I26" i="38"/>
  <c r="J26" i="38"/>
  <c r="G26" i="38"/>
  <c r="H26" i="37"/>
  <c r="I26" i="37"/>
  <c r="J26" i="37"/>
  <c r="G26" i="37"/>
  <c r="H26" i="35"/>
  <c r="I26" i="35"/>
  <c r="J26" i="35"/>
  <c r="G26" i="35"/>
  <c r="R10" i="15"/>
  <c r="R11" i="15"/>
  <c r="R12" i="15"/>
  <c r="R13" i="15"/>
  <c r="R14" i="15"/>
  <c r="R15" i="15"/>
  <c r="R16" i="15"/>
  <c r="R17" i="15"/>
  <c r="R18" i="15"/>
  <c r="R19" i="15"/>
  <c r="R20" i="15"/>
  <c r="R21" i="15"/>
  <c r="R22" i="15"/>
  <c r="R23" i="15"/>
  <c r="R24" i="15"/>
  <c r="R25" i="15"/>
  <c r="R35" i="15"/>
  <c r="R36" i="15"/>
  <c r="R37" i="15"/>
  <c r="R38" i="15"/>
  <c r="R39" i="15"/>
  <c r="R40" i="15"/>
  <c r="R9" i="15"/>
  <c r="N68" i="30"/>
  <c r="N66" i="30"/>
  <c r="I22" i="39" l="1"/>
  <c r="L15" i="18"/>
  <c r="L13" i="15"/>
  <c r="J15" i="56"/>
  <c r="J24" i="53"/>
  <c r="J23" i="53"/>
  <c r="J22" i="53"/>
  <c r="I21" i="53"/>
  <c r="J21" i="53" s="1"/>
  <c r="J21" i="52"/>
  <c r="J20" i="52"/>
  <c r="I20" i="52"/>
  <c r="I19" i="52"/>
  <c r="J19" i="52" s="1"/>
  <c r="I23" i="40"/>
  <c r="J23" i="40" s="1"/>
  <c r="H23" i="40"/>
  <c r="I22" i="40"/>
  <c r="J22" i="40" s="1"/>
  <c r="I22" i="37"/>
  <c r="J22" i="37" s="1"/>
  <c r="J21" i="37"/>
  <c r="J20" i="37"/>
  <c r="I19" i="37"/>
  <c r="J19" i="37" s="1"/>
  <c r="J25" i="36"/>
  <c r="J24" i="36"/>
  <c r="H23" i="36"/>
  <c r="J23" i="36" s="1"/>
  <c r="J21" i="36"/>
  <c r="I21" i="36"/>
  <c r="H20" i="36"/>
  <c r="J20" i="36" s="1"/>
  <c r="L27" i="15"/>
  <c r="E22" i="8"/>
  <c r="F22" i="8" s="1"/>
  <c r="H22" i="36" l="1"/>
  <c r="I22" i="36" l="1"/>
  <c r="J22" i="36" s="1"/>
  <c r="Q8" i="60" l="1"/>
  <c r="H24" i="60"/>
  <c r="I24" i="60"/>
  <c r="J24" i="60"/>
  <c r="G24" i="60"/>
  <c r="H25" i="57"/>
  <c r="I25" i="57"/>
  <c r="G25" i="57"/>
  <c r="G8" i="56"/>
  <c r="Q8" i="55"/>
  <c r="G8" i="55" s="1"/>
  <c r="K16" i="48"/>
  <c r="K15" i="48"/>
  <c r="H25" i="46"/>
  <c r="H26" i="46" s="1"/>
  <c r="I25" i="46"/>
  <c r="I26" i="46" s="1"/>
  <c r="H24" i="45"/>
  <c r="I24" i="45"/>
  <c r="J24" i="45"/>
  <c r="G24" i="45"/>
  <c r="H24" i="41"/>
  <c r="I24" i="41"/>
  <c r="J24" i="41"/>
  <c r="G24" i="41"/>
  <c r="G10" i="42"/>
  <c r="G10" i="40"/>
  <c r="G10" i="39"/>
  <c r="G10" i="38"/>
  <c r="G10" i="37"/>
  <c r="P12" i="18"/>
  <c r="R12" i="18" s="1"/>
  <c r="P13" i="18"/>
  <c r="R13" i="18" s="1"/>
  <c r="P14" i="18"/>
  <c r="R14" i="18" s="1"/>
  <c r="P15" i="18"/>
  <c r="R15" i="18" s="1"/>
  <c r="P16" i="18"/>
  <c r="R16" i="18" s="1"/>
  <c r="P17" i="18"/>
  <c r="R17" i="18" s="1"/>
  <c r="P18" i="18"/>
  <c r="R18" i="18" s="1"/>
  <c r="P19" i="18"/>
  <c r="R19" i="18" s="1"/>
  <c r="P20" i="18"/>
  <c r="R20" i="18" s="1"/>
  <c r="P21" i="18"/>
  <c r="R21" i="18" s="1"/>
  <c r="P22" i="18"/>
  <c r="R22" i="18" s="1"/>
  <c r="P23" i="18"/>
  <c r="R23" i="18" s="1"/>
  <c r="P24" i="18"/>
  <c r="R24" i="18" s="1"/>
  <c r="P25" i="18"/>
  <c r="R25" i="18" s="1"/>
  <c r="P26" i="18"/>
  <c r="R26" i="18" s="1"/>
  <c r="P27" i="18"/>
  <c r="R27" i="18" s="1"/>
  <c r="P28" i="18"/>
  <c r="R28" i="18" s="1"/>
  <c r="P29" i="18"/>
  <c r="R29" i="18" s="1"/>
  <c r="P30" i="18"/>
  <c r="R30" i="18" s="1"/>
  <c r="P31" i="18"/>
  <c r="R31" i="18" s="1"/>
  <c r="P32" i="18"/>
  <c r="R32" i="18" s="1"/>
  <c r="P33" i="18"/>
  <c r="R33" i="18" s="1"/>
  <c r="P34" i="18"/>
  <c r="R34" i="18" s="1"/>
  <c r="P35" i="18"/>
  <c r="R35" i="18" s="1"/>
  <c r="P36" i="18"/>
  <c r="R36" i="18" s="1"/>
  <c r="P37" i="18"/>
  <c r="R37" i="18" s="1"/>
  <c r="P38" i="18"/>
  <c r="R38" i="18" s="1"/>
  <c r="P39" i="18"/>
  <c r="R39" i="18" s="1"/>
  <c r="P40" i="18"/>
  <c r="R40" i="18" s="1"/>
  <c r="P41" i="18"/>
  <c r="R41" i="18" s="1"/>
  <c r="P42" i="18"/>
  <c r="R42" i="18" s="1"/>
  <c r="P11" i="18"/>
  <c r="R11" i="18" s="1"/>
  <c r="H44" i="18"/>
  <c r="I44" i="18"/>
  <c r="J44" i="18"/>
  <c r="K44" i="18"/>
  <c r="L44" i="18"/>
  <c r="M44" i="18"/>
  <c r="N44" i="18"/>
  <c r="O44" i="18"/>
  <c r="Q44" i="18"/>
  <c r="G44" i="18"/>
  <c r="P43" i="18"/>
  <c r="R43" i="18" s="1"/>
  <c r="D22" i="23"/>
  <c r="F21" i="8"/>
  <c r="E21" i="8"/>
  <c r="E19" i="8"/>
  <c r="F16" i="8"/>
  <c r="F13" i="8"/>
  <c r="F12" i="8"/>
  <c r="F11" i="8" s="1"/>
  <c r="P44" i="18" l="1"/>
  <c r="K24" i="60"/>
  <c r="F10" i="8"/>
  <c r="N10" i="23" s="1"/>
  <c r="C43" i="8" l="1"/>
  <c r="Z41" i="15" l="1"/>
  <c r="W20" i="15"/>
  <c r="X38" i="15"/>
  <c r="K41" i="15"/>
  <c r="N41" i="15"/>
  <c r="O41" i="15"/>
  <c r="J41" i="15"/>
  <c r="P56" i="30"/>
  <c r="N54" i="30"/>
  <c r="E55" i="30"/>
  <c r="E54" i="30"/>
  <c r="AA41" i="15" l="1"/>
  <c r="M29" i="30"/>
  <c r="Z40" i="15" l="1"/>
  <c r="AA40" i="15" s="1"/>
  <c r="Z39" i="15"/>
  <c r="AA39" i="15" s="1"/>
  <c r="Z38" i="15"/>
  <c r="AA38" i="15" s="1"/>
  <c r="Z37" i="15"/>
  <c r="AA37" i="15" s="1"/>
  <c r="Z36" i="15"/>
  <c r="AA36" i="15" s="1"/>
  <c r="Z35" i="15"/>
  <c r="AA35" i="15" s="1"/>
  <c r="Z34" i="15"/>
  <c r="AA34" i="15" s="1"/>
  <c r="Z33" i="15"/>
  <c r="AA33" i="15" s="1"/>
  <c r="Z32" i="15"/>
  <c r="AA32" i="15" s="1"/>
  <c r="Z31" i="15"/>
  <c r="AA31" i="15" s="1"/>
  <c r="Z30" i="15"/>
  <c r="AA30" i="15" s="1"/>
  <c r="Z29" i="15"/>
  <c r="AA29" i="15" s="1"/>
  <c r="Z28" i="15"/>
  <c r="AA28" i="15" s="1"/>
  <c r="Z27" i="15"/>
  <c r="AA27" i="15" s="1"/>
  <c r="Z26" i="15"/>
  <c r="AA26" i="15" s="1"/>
  <c r="Z25" i="15"/>
  <c r="AA25" i="15" s="1"/>
  <c r="Z24" i="15"/>
  <c r="AA24" i="15" s="1"/>
  <c r="Z23" i="15"/>
  <c r="AA23" i="15" s="1"/>
  <c r="Z22" i="15"/>
  <c r="AA22" i="15" s="1"/>
  <c r="Z21" i="15"/>
  <c r="AA21" i="15" s="1"/>
  <c r="Z20" i="15"/>
  <c r="AA20" i="15" s="1"/>
  <c r="Z19" i="15"/>
  <c r="AA19" i="15" s="1"/>
  <c r="Z18" i="15"/>
  <c r="AA18" i="15" s="1"/>
  <c r="Z17" i="15"/>
  <c r="AA17" i="15" s="1"/>
  <c r="Z16" i="15"/>
  <c r="AA16" i="15" s="1"/>
  <c r="Z15" i="15"/>
  <c r="AA15" i="15" s="1"/>
  <c r="Z14" i="15"/>
  <c r="AA14" i="15" s="1"/>
  <c r="Z13" i="15"/>
  <c r="AA13" i="15" s="1"/>
  <c r="Z12" i="15"/>
  <c r="AA12" i="15" s="1"/>
  <c r="Z11" i="15"/>
  <c r="AA11" i="15" s="1"/>
  <c r="Z10" i="15"/>
  <c r="AA10" i="15" s="1"/>
  <c r="Z9" i="15"/>
  <c r="AA9" i="15" s="1"/>
  <c r="G26" i="34"/>
  <c r="G25" i="34" s="1"/>
  <c r="H26" i="34"/>
  <c r="H25" i="34" s="1"/>
  <c r="I26" i="34"/>
  <c r="I25" i="34" s="1"/>
  <c r="Q8" i="34"/>
  <c r="G26" i="60"/>
  <c r="G25" i="60" s="1"/>
  <c r="H26" i="60"/>
  <c r="H25" i="60" s="1"/>
  <c r="I26" i="60"/>
  <c r="I25" i="60" s="1"/>
  <c r="G26" i="58"/>
  <c r="H26" i="58"/>
  <c r="I26" i="58"/>
  <c r="Q8" i="58"/>
  <c r="Q8" i="59"/>
  <c r="G26" i="59"/>
  <c r="H26" i="59"/>
  <c r="I26" i="59"/>
  <c r="G25" i="56"/>
  <c r="H25" i="56"/>
  <c r="I25" i="56"/>
  <c r="G25" i="55"/>
  <c r="G26" i="55" s="1"/>
  <c r="H25" i="55"/>
  <c r="I25" i="55"/>
  <c r="G31" i="53"/>
  <c r="H31" i="53"/>
  <c r="I31" i="53"/>
  <c r="Q8" i="53"/>
  <c r="G25" i="52"/>
  <c r="H25" i="52"/>
  <c r="I25" i="52"/>
  <c r="Q8" i="52"/>
  <c r="G25" i="51"/>
  <c r="G26" i="51" s="1"/>
  <c r="H25" i="51"/>
  <c r="H26" i="51" s="1"/>
  <c r="Q8" i="51"/>
  <c r="G25" i="50"/>
  <c r="H25" i="50"/>
  <c r="I25" i="50"/>
  <c r="Q8" i="50"/>
  <c r="G25" i="49"/>
  <c r="G26" i="49" s="1"/>
  <c r="H25" i="49"/>
  <c r="H26" i="49" s="1"/>
  <c r="I25" i="49"/>
  <c r="I26" i="49" s="1"/>
  <c r="Q8" i="49"/>
  <c r="G25" i="48"/>
  <c r="H25" i="48"/>
  <c r="I25" i="48"/>
  <c r="Q8" i="48"/>
  <c r="G25" i="47"/>
  <c r="H25" i="47"/>
  <c r="I25" i="47"/>
  <c r="Q8" i="47"/>
  <c r="G25" i="46"/>
  <c r="G26" i="46" s="1"/>
  <c r="R8" i="46"/>
  <c r="G8" i="46" s="1"/>
  <c r="Q8" i="46" s="1"/>
  <c r="G25" i="45"/>
  <c r="G26" i="45" s="1"/>
  <c r="H25" i="45"/>
  <c r="H26" i="45" s="1"/>
  <c r="I25" i="45"/>
  <c r="I26" i="45" s="1"/>
  <c r="Q8" i="45"/>
  <c r="G25" i="44"/>
  <c r="G26" i="44" s="1"/>
  <c r="H25" i="44"/>
  <c r="H26" i="44" s="1"/>
  <c r="I25" i="44"/>
  <c r="I26" i="44" s="1"/>
  <c r="Q8" i="44"/>
  <c r="G25" i="41"/>
  <c r="G26" i="41" s="1"/>
  <c r="H25" i="41"/>
  <c r="H26" i="41" s="1"/>
  <c r="I25" i="41"/>
  <c r="I26" i="41" s="1"/>
  <c r="Q8" i="41"/>
  <c r="G25" i="43"/>
  <c r="G26" i="43" s="1"/>
  <c r="H25" i="43"/>
  <c r="H26" i="43" s="1"/>
  <c r="I25" i="43"/>
  <c r="I26" i="43" s="1"/>
  <c r="Q8" i="43"/>
  <c r="G25" i="42"/>
  <c r="G26" i="42" s="1"/>
  <c r="H25" i="42"/>
  <c r="H26" i="42" s="1"/>
  <c r="I25" i="42"/>
  <c r="I26" i="42" s="1"/>
  <c r="Q8" i="42"/>
  <c r="G25" i="40"/>
  <c r="H25" i="40"/>
  <c r="I25" i="40"/>
  <c r="Q8" i="40"/>
  <c r="G25" i="39"/>
  <c r="H25" i="39"/>
  <c r="I25" i="39"/>
  <c r="Q8" i="39"/>
  <c r="G25" i="38"/>
  <c r="H25" i="38"/>
  <c r="I25" i="38"/>
  <c r="Q8" i="38"/>
  <c r="G25" i="37"/>
  <c r="H25" i="37"/>
  <c r="I25" i="37"/>
  <c r="Q8" i="37"/>
  <c r="G29" i="36"/>
  <c r="H29" i="36"/>
  <c r="I29" i="36"/>
  <c r="Q8" i="36"/>
  <c r="G25" i="35"/>
  <c r="H25" i="35"/>
  <c r="I25" i="35"/>
  <c r="X10" i="15"/>
  <c r="X11" i="15"/>
  <c r="X12" i="15"/>
  <c r="X13" i="15"/>
  <c r="X14" i="15"/>
  <c r="X15" i="15"/>
  <c r="X16" i="15"/>
  <c r="X17" i="15"/>
  <c r="X18" i="15"/>
  <c r="X19" i="15"/>
  <c r="X20" i="15"/>
  <c r="X21" i="15"/>
  <c r="X22" i="15"/>
  <c r="X23" i="15"/>
  <c r="X24" i="15"/>
  <c r="X25" i="15"/>
  <c r="X26" i="15"/>
  <c r="X27" i="15"/>
  <c r="X28" i="15"/>
  <c r="X29" i="15"/>
  <c r="X30" i="15"/>
  <c r="X31" i="15"/>
  <c r="X32" i="15"/>
  <c r="X33" i="15"/>
  <c r="X34" i="15"/>
  <c r="X35" i="15"/>
  <c r="X36" i="15"/>
  <c r="X37" i="15"/>
  <c r="X39" i="15"/>
  <c r="X40" i="15"/>
  <c r="X41" i="15"/>
  <c r="X9" i="15"/>
  <c r="W10" i="15"/>
  <c r="W11" i="15"/>
  <c r="W12" i="15"/>
  <c r="W13" i="15"/>
  <c r="W14" i="15"/>
  <c r="W15" i="15"/>
  <c r="W16" i="15"/>
  <c r="W17" i="15"/>
  <c r="W18" i="15"/>
  <c r="W19" i="15"/>
  <c r="W21" i="15"/>
  <c r="W22" i="15"/>
  <c r="W23" i="15"/>
  <c r="W24" i="15"/>
  <c r="W25" i="15"/>
  <c r="W26" i="15"/>
  <c r="W27" i="15"/>
  <c r="W28" i="15"/>
  <c r="W29" i="15"/>
  <c r="W30" i="15"/>
  <c r="W31" i="15"/>
  <c r="W32" i="15"/>
  <c r="W33" i="15"/>
  <c r="W34" i="15"/>
  <c r="W35" i="15"/>
  <c r="W36" i="15"/>
  <c r="W37" i="15"/>
  <c r="W38" i="15"/>
  <c r="W39" i="15"/>
  <c r="W40" i="15"/>
  <c r="W9" i="15"/>
  <c r="V10" i="15"/>
  <c r="V11" i="15"/>
  <c r="V12" i="15"/>
  <c r="V13" i="15"/>
  <c r="V14" i="15"/>
  <c r="V15" i="15"/>
  <c r="V16" i="15"/>
  <c r="V17" i="15"/>
  <c r="V18" i="15"/>
  <c r="V19" i="15"/>
  <c r="V20" i="15"/>
  <c r="V21" i="15"/>
  <c r="V22" i="15"/>
  <c r="V23" i="15"/>
  <c r="V24" i="15"/>
  <c r="V25" i="15"/>
  <c r="V26" i="15"/>
  <c r="V27" i="15"/>
  <c r="V28" i="15"/>
  <c r="V29" i="15"/>
  <c r="V30" i="15"/>
  <c r="V31" i="15"/>
  <c r="V32" i="15"/>
  <c r="V33" i="15"/>
  <c r="V34" i="15"/>
  <c r="V35" i="15"/>
  <c r="V36" i="15"/>
  <c r="V37" i="15"/>
  <c r="V38" i="15"/>
  <c r="V39" i="15"/>
  <c r="V40" i="15"/>
  <c r="V9" i="15"/>
  <c r="U10" i="15"/>
  <c r="U11" i="15"/>
  <c r="U12" i="15"/>
  <c r="U13" i="15"/>
  <c r="U14" i="15"/>
  <c r="U15" i="15"/>
  <c r="U16" i="15"/>
  <c r="U17" i="15"/>
  <c r="U18" i="15"/>
  <c r="U19" i="15"/>
  <c r="U20" i="15"/>
  <c r="U21" i="15"/>
  <c r="U22" i="15"/>
  <c r="U23" i="15"/>
  <c r="U24" i="15"/>
  <c r="U25" i="15"/>
  <c r="U26" i="15"/>
  <c r="U27" i="15"/>
  <c r="U28" i="15"/>
  <c r="U29" i="15"/>
  <c r="U30" i="15"/>
  <c r="U31" i="15"/>
  <c r="U32" i="15"/>
  <c r="U33" i="15"/>
  <c r="U34" i="15"/>
  <c r="U35" i="15"/>
  <c r="U36" i="15"/>
  <c r="U37" i="15"/>
  <c r="U38" i="15"/>
  <c r="U39" i="15"/>
  <c r="U40" i="15"/>
  <c r="U9" i="15"/>
  <c r="T10" i="15"/>
  <c r="T11" i="15"/>
  <c r="T12" i="15"/>
  <c r="T13" i="15"/>
  <c r="T14" i="15"/>
  <c r="T15" i="15"/>
  <c r="T16" i="15"/>
  <c r="T17" i="15"/>
  <c r="T18" i="15"/>
  <c r="T19" i="15"/>
  <c r="T20" i="15"/>
  <c r="T21" i="15"/>
  <c r="T22" i="15"/>
  <c r="T23" i="15"/>
  <c r="T24" i="15"/>
  <c r="T25" i="15"/>
  <c r="T26" i="15"/>
  <c r="T27" i="15"/>
  <c r="T28" i="15"/>
  <c r="T29" i="15"/>
  <c r="T30" i="15"/>
  <c r="T31" i="15"/>
  <c r="T32" i="15"/>
  <c r="T33" i="15"/>
  <c r="T34" i="15"/>
  <c r="T35" i="15"/>
  <c r="T36" i="15"/>
  <c r="T37" i="15"/>
  <c r="T38" i="15"/>
  <c r="T39" i="15"/>
  <c r="T40" i="15"/>
  <c r="T9" i="15"/>
  <c r="S10" i="15"/>
  <c r="S11" i="15"/>
  <c r="S12" i="15"/>
  <c r="S13" i="15"/>
  <c r="S14" i="15"/>
  <c r="S15" i="15"/>
  <c r="S16" i="15"/>
  <c r="S17" i="15"/>
  <c r="S18" i="15"/>
  <c r="S19" i="15"/>
  <c r="S20" i="15"/>
  <c r="S21" i="15"/>
  <c r="S22" i="15"/>
  <c r="S23" i="15"/>
  <c r="S24" i="15"/>
  <c r="S25" i="15"/>
  <c r="S26" i="15"/>
  <c r="S27" i="15"/>
  <c r="S28" i="15"/>
  <c r="S29" i="15"/>
  <c r="S30" i="15"/>
  <c r="S31" i="15"/>
  <c r="S32" i="15"/>
  <c r="S33" i="15"/>
  <c r="S34" i="15"/>
  <c r="S35" i="15"/>
  <c r="S36" i="15"/>
  <c r="S37" i="15"/>
  <c r="S38" i="15"/>
  <c r="S39" i="15"/>
  <c r="S40" i="15"/>
  <c r="S9" i="15"/>
  <c r="L73" i="30"/>
  <c r="L70" i="30"/>
  <c r="L67" i="30"/>
  <c r="L65" i="30"/>
  <c r="L63" i="30"/>
  <c r="L61" i="30"/>
  <c r="L59" i="30"/>
  <c r="L54" i="30"/>
  <c r="L51" i="30"/>
  <c r="L49" i="30"/>
  <c r="L43" i="30"/>
  <c r="L31" i="30"/>
  <c r="L29" i="30"/>
  <c r="L26" i="30"/>
  <c r="L24" i="30"/>
  <c r="L20" i="30"/>
  <c r="L14" i="30"/>
  <c r="M12" i="30"/>
  <c r="L12" i="30"/>
  <c r="N24" i="60" l="1"/>
  <c r="J23" i="60"/>
  <c r="O23" i="60" s="1"/>
  <c r="J22" i="60"/>
  <c r="O22" i="60" s="1"/>
  <c r="J21" i="60"/>
  <c r="O21" i="60" s="1"/>
  <c r="J20" i="60"/>
  <c r="O20" i="60" s="1"/>
  <c r="J19" i="60"/>
  <c r="O19" i="60" s="1"/>
  <c r="J18" i="60"/>
  <c r="O18" i="60" s="1"/>
  <c r="J17" i="60"/>
  <c r="O17" i="60" s="1"/>
  <c r="J16" i="60"/>
  <c r="O16" i="60" s="1"/>
  <c r="J15" i="60"/>
  <c r="O14" i="60"/>
  <c r="K14" i="60"/>
  <c r="L14" i="60" s="1"/>
  <c r="N24" i="59"/>
  <c r="I24" i="59"/>
  <c r="H24" i="59"/>
  <c r="G24" i="59"/>
  <c r="J23" i="59"/>
  <c r="O23" i="59" s="1"/>
  <c r="J22" i="59"/>
  <c r="O22" i="59" s="1"/>
  <c r="J21" i="59"/>
  <c r="O21" i="59" s="1"/>
  <c r="J20" i="59"/>
  <c r="O20" i="59" s="1"/>
  <c r="J19" i="59"/>
  <c r="O19" i="59" s="1"/>
  <c r="J18" i="59"/>
  <c r="O18" i="59" s="1"/>
  <c r="J17" i="59"/>
  <c r="O17" i="59" s="1"/>
  <c r="J16" i="59"/>
  <c r="O16" i="59" s="1"/>
  <c r="J15" i="59"/>
  <c r="O14" i="59"/>
  <c r="K14" i="59"/>
  <c r="L14" i="59" s="1"/>
  <c r="J16" i="34"/>
  <c r="J17" i="34"/>
  <c r="J18" i="34"/>
  <c r="N24" i="58"/>
  <c r="I24" i="58"/>
  <c r="H24" i="58"/>
  <c r="G24" i="58"/>
  <c r="J23" i="58"/>
  <c r="O23" i="58" s="1"/>
  <c r="J22" i="58"/>
  <c r="O22" i="58" s="1"/>
  <c r="J21" i="58"/>
  <c r="O21" i="58" s="1"/>
  <c r="J20" i="58"/>
  <c r="O20" i="58" s="1"/>
  <c r="J19" i="58"/>
  <c r="O19" i="58" s="1"/>
  <c r="J18" i="58"/>
  <c r="O18" i="58" s="1"/>
  <c r="J17" i="58"/>
  <c r="O17" i="58" s="1"/>
  <c r="J16" i="58"/>
  <c r="O16" i="58" s="1"/>
  <c r="J15" i="58"/>
  <c r="O14" i="58"/>
  <c r="K14" i="58"/>
  <c r="L14" i="58" s="1"/>
  <c r="J24" i="59" l="1"/>
  <c r="K24" i="59" s="1"/>
  <c r="L24" i="59" s="1"/>
  <c r="O24" i="60"/>
  <c r="K15" i="60"/>
  <c r="L15" i="60" s="1"/>
  <c r="K16" i="60"/>
  <c r="L16" i="60" s="1"/>
  <c r="K17" i="60"/>
  <c r="L17" i="60" s="1"/>
  <c r="K18" i="60"/>
  <c r="L18" i="60" s="1"/>
  <c r="K19" i="60"/>
  <c r="L19" i="60" s="1"/>
  <c r="K20" i="60"/>
  <c r="L20" i="60" s="1"/>
  <c r="K21" i="60"/>
  <c r="L21" i="60" s="1"/>
  <c r="K22" i="60"/>
  <c r="L22" i="60" s="1"/>
  <c r="K23" i="60"/>
  <c r="L23" i="60" s="1"/>
  <c r="O15" i="60"/>
  <c r="O24" i="59"/>
  <c r="K15" i="59"/>
  <c r="L15" i="59" s="1"/>
  <c r="K16" i="59"/>
  <c r="L16" i="59" s="1"/>
  <c r="K17" i="59"/>
  <c r="L17" i="59" s="1"/>
  <c r="K18" i="59"/>
  <c r="L18" i="59" s="1"/>
  <c r="K19" i="59"/>
  <c r="L19" i="59" s="1"/>
  <c r="K20" i="59"/>
  <c r="L20" i="59" s="1"/>
  <c r="K21" i="59"/>
  <c r="L21" i="59" s="1"/>
  <c r="K22" i="59"/>
  <c r="L22" i="59" s="1"/>
  <c r="K23" i="59"/>
  <c r="L23" i="59" s="1"/>
  <c r="O15" i="59"/>
  <c r="J24" i="58"/>
  <c r="K24" i="58" s="1"/>
  <c r="L24" i="58" s="1"/>
  <c r="K15" i="58"/>
  <c r="L15" i="58" s="1"/>
  <c r="K16" i="58"/>
  <c r="L16" i="58" s="1"/>
  <c r="K17" i="58"/>
  <c r="L17" i="58" s="1"/>
  <c r="K18" i="58"/>
  <c r="L18" i="58" s="1"/>
  <c r="K19" i="58"/>
  <c r="L19" i="58" s="1"/>
  <c r="K20" i="58"/>
  <c r="L20" i="58" s="1"/>
  <c r="K21" i="58"/>
  <c r="L21" i="58" s="1"/>
  <c r="K22" i="58"/>
  <c r="L22" i="58" s="1"/>
  <c r="K23" i="58"/>
  <c r="L23" i="58" s="1"/>
  <c r="O15" i="58"/>
  <c r="O24" i="58" l="1"/>
  <c r="L24" i="60"/>
  <c r="N24" i="57" l="1"/>
  <c r="I24" i="57"/>
  <c r="H24" i="57"/>
  <c r="G24" i="57"/>
  <c r="J23" i="57"/>
  <c r="O23" i="57" s="1"/>
  <c r="J22" i="57"/>
  <c r="K22" i="57" s="1"/>
  <c r="L22" i="57" s="1"/>
  <c r="K21" i="57"/>
  <c r="L21" i="57" s="1"/>
  <c r="J21" i="57"/>
  <c r="O21" i="57" s="1"/>
  <c r="J20" i="57"/>
  <c r="O20" i="57" s="1"/>
  <c r="J19" i="57"/>
  <c r="O19" i="57" s="1"/>
  <c r="O18" i="57"/>
  <c r="J18" i="57"/>
  <c r="K18" i="57" s="1"/>
  <c r="L18" i="57" s="1"/>
  <c r="O17" i="57"/>
  <c r="J17" i="57"/>
  <c r="K17" i="57" s="1"/>
  <c r="L17" i="57" s="1"/>
  <c r="J16" i="57"/>
  <c r="O16" i="57" s="1"/>
  <c r="J15" i="57"/>
  <c r="K15" i="57" s="1"/>
  <c r="L15" i="57" s="1"/>
  <c r="O14" i="57"/>
  <c r="K14" i="57"/>
  <c r="L14" i="57" s="1"/>
  <c r="O22" i="57" l="1"/>
  <c r="K16" i="57"/>
  <c r="L16" i="57" s="1"/>
  <c r="K20" i="57"/>
  <c r="L20" i="57" s="1"/>
  <c r="K19" i="57"/>
  <c r="L19" i="57" s="1"/>
  <c r="K23" i="57"/>
  <c r="L23" i="57" s="1"/>
  <c r="O15" i="57"/>
  <c r="J24" i="57"/>
  <c r="K24" i="57" s="1"/>
  <c r="L24" i="57" s="1"/>
  <c r="O24" i="57" l="1"/>
  <c r="F16" i="30" l="1"/>
  <c r="L41" i="15" l="1"/>
  <c r="I25" i="51"/>
  <c r="I26" i="51" s="1"/>
  <c r="F35" i="8"/>
  <c r="F34" i="8"/>
  <c r="F33" i="8"/>
  <c r="E25" i="8" l="1"/>
  <c r="E18" i="8"/>
  <c r="E15" i="8"/>
  <c r="E17" i="8"/>
  <c r="E14" i="8"/>
  <c r="D20" i="8"/>
  <c r="E20" i="8" s="1"/>
  <c r="D13" i="8" l="1"/>
  <c r="N24" i="56" l="1"/>
  <c r="I24" i="56"/>
  <c r="I26" i="56" s="1"/>
  <c r="H24" i="56"/>
  <c r="H26" i="56" s="1"/>
  <c r="G24" i="56"/>
  <c r="G26" i="56" s="1"/>
  <c r="J23" i="56"/>
  <c r="K23" i="56" s="1"/>
  <c r="L23" i="56" s="1"/>
  <c r="J22" i="56"/>
  <c r="O22" i="56" s="1"/>
  <c r="J21" i="56"/>
  <c r="K21" i="56" s="1"/>
  <c r="L21" i="56" s="1"/>
  <c r="J20" i="56"/>
  <c r="O20" i="56" s="1"/>
  <c r="O19" i="56"/>
  <c r="J19" i="56"/>
  <c r="K19" i="56" s="1"/>
  <c r="L19" i="56" s="1"/>
  <c r="J18" i="56"/>
  <c r="O18" i="56" s="1"/>
  <c r="J17" i="56"/>
  <c r="K17" i="56" s="1"/>
  <c r="L17" i="56" s="1"/>
  <c r="J16" i="56"/>
  <c r="O16" i="56" s="1"/>
  <c r="O14" i="56"/>
  <c r="K14" i="56"/>
  <c r="L14" i="56" s="1"/>
  <c r="N24" i="55"/>
  <c r="I24" i="55"/>
  <c r="I26" i="55" s="1"/>
  <c r="H24" i="55"/>
  <c r="H26" i="55" s="1"/>
  <c r="G24" i="55"/>
  <c r="J23" i="55"/>
  <c r="O23" i="55" s="1"/>
  <c r="J22" i="55"/>
  <c r="O22" i="55" s="1"/>
  <c r="J21" i="55"/>
  <c r="O21" i="55" s="1"/>
  <c r="J20" i="55"/>
  <c r="O20" i="55" s="1"/>
  <c r="J19" i="55"/>
  <c r="O19" i="55" s="1"/>
  <c r="J18" i="55"/>
  <c r="O18" i="55" s="1"/>
  <c r="J17" i="55"/>
  <c r="O17" i="55" s="1"/>
  <c r="J16" i="55"/>
  <c r="O16" i="55" s="1"/>
  <c r="J15" i="55"/>
  <c r="O14" i="55"/>
  <c r="K14" i="55"/>
  <c r="L14" i="55" s="1"/>
  <c r="J28" i="53"/>
  <c r="O28" i="53" s="1"/>
  <c r="J27" i="53"/>
  <c r="O27" i="53" s="1"/>
  <c r="J26" i="53"/>
  <c r="O26" i="53" s="1"/>
  <c r="J25" i="53"/>
  <c r="O25" i="53" s="1"/>
  <c r="O24" i="53"/>
  <c r="O23" i="53"/>
  <c r="N30" i="53"/>
  <c r="I30" i="53"/>
  <c r="I32" i="53" s="1"/>
  <c r="H30" i="53"/>
  <c r="H32" i="53" s="1"/>
  <c r="G30" i="53"/>
  <c r="G32" i="53" s="1"/>
  <c r="J29" i="53"/>
  <c r="O29" i="53" s="1"/>
  <c r="O22" i="53"/>
  <c r="O21" i="53"/>
  <c r="J20" i="53"/>
  <c r="K20" i="53" s="1"/>
  <c r="L20" i="53" s="1"/>
  <c r="J19" i="53"/>
  <c r="O19" i="53" s="1"/>
  <c r="J18" i="53"/>
  <c r="O18" i="53" s="1"/>
  <c r="J17" i="53"/>
  <c r="K17" i="53" s="1"/>
  <c r="L17" i="53" s="1"/>
  <c r="J16" i="53"/>
  <c r="O16" i="53" s="1"/>
  <c r="J15" i="53"/>
  <c r="O15" i="53" s="1"/>
  <c r="O14" i="53"/>
  <c r="K14" i="53"/>
  <c r="L14" i="53" s="1"/>
  <c r="K20" i="52"/>
  <c r="L20" i="52" s="1"/>
  <c r="N24" i="52"/>
  <c r="H24" i="52"/>
  <c r="G24" i="52"/>
  <c r="J23" i="52"/>
  <c r="O23" i="52" s="1"/>
  <c r="J22" i="52"/>
  <c r="K22" i="52" s="1"/>
  <c r="L22" i="52" s="1"/>
  <c r="O21" i="52"/>
  <c r="K18" i="52"/>
  <c r="L18" i="52" s="1"/>
  <c r="J18" i="52"/>
  <c r="O18" i="52" s="1"/>
  <c r="J17" i="52"/>
  <c r="O17" i="52" s="1"/>
  <c r="J16" i="52"/>
  <c r="O16" i="52" s="1"/>
  <c r="O15" i="52"/>
  <c r="J15" i="52"/>
  <c r="K15" i="52" s="1"/>
  <c r="L15" i="52" s="1"/>
  <c r="O14" i="52"/>
  <c r="K14" i="52"/>
  <c r="L14" i="52" s="1"/>
  <c r="I19" i="51"/>
  <c r="I24" i="51" s="1"/>
  <c r="N24" i="51"/>
  <c r="H24" i="51"/>
  <c r="G24" i="51"/>
  <c r="J23" i="51"/>
  <c r="O23" i="51" s="1"/>
  <c r="J22" i="51"/>
  <c r="O22" i="51" s="1"/>
  <c r="J21" i="51"/>
  <c r="O21" i="51" s="1"/>
  <c r="J20" i="51"/>
  <c r="O20" i="51" s="1"/>
  <c r="J19" i="51"/>
  <c r="O19" i="51" s="1"/>
  <c r="J18" i="51"/>
  <c r="O18" i="51" s="1"/>
  <c r="J17" i="51"/>
  <c r="O17" i="51" s="1"/>
  <c r="J16" i="51"/>
  <c r="O16" i="51" s="1"/>
  <c r="J15" i="51"/>
  <c r="O14" i="51"/>
  <c r="K14" i="51"/>
  <c r="L14" i="51" s="1"/>
  <c r="N24" i="50"/>
  <c r="I24" i="50"/>
  <c r="H24" i="50"/>
  <c r="G24" i="50"/>
  <c r="J23" i="50"/>
  <c r="O23" i="50" s="1"/>
  <c r="J22" i="50"/>
  <c r="O22" i="50" s="1"/>
  <c r="J21" i="50"/>
  <c r="O21" i="50" s="1"/>
  <c r="J20" i="50"/>
  <c r="O20" i="50" s="1"/>
  <c r="J19" i="50"/>
  <c r="O19" i="50" s="1"/>
  <c r="J18" i="50"/>
  <c r="O18" i="50" s="1"/>
  <c r="J17" i="50"/>
  <c r="O17" i="50" s="1"/>
  <c r="J16" i="50"/>
  <c r="O16" i="50" s="1"/>
  <c r="J15" i="50"/>
  <c r="O14" i="50"/>
  <c r="K14" i="50"/>
  <c r="L14" i="50" s="1"/>
  <c r="N24" i="49"/>
  <c r="I24" i="49"/>
  <c r="H24" i="49"/>
  <c r="G24" i="49"/>
  <c r="J23" i="49"/>
  <c r="O23" i="49" s="1"/>
  <c r="J22" i="49"/>
  <c r="O22" i="49" s="1"/>
  <c r="J21" i="49"/>
  <c r="O21" i="49" s="1"/>
  <c r="J20" i="49"/>
  <c r="O20" i="49" s="1"/>
  <c r="J19" i="49"/>
  <c r="O19" i="49" s="1"/>
  <c r="J18" i="49"/>
  <c r="O18" i="49" s="1"/>
  <c r="J17" i="49"/>
  <c r="O17" i="49" s="1"/>
  <c r="J16" i="49"/>
  <c r="O16" i="49" s="1"/>
  <c r="J15" i="49"/>
  <c r="O14" i="49"/>
  <c r="K14" i="49"/>
  <c r="L14" i="49" s="1"/>
  <c r="N24" i="48"/>
  <c r="I24" i="48"/>
  <c r="I26" i="48" s="1"/>
  <c r="H24" i="48"/>
  <c r="H26" i="48" s="1"/>
  <c r="G24" i="48"/>
  <c r="G26" i="48" s="1"/>
  <c r="J23" i="48"/>
  <c r="O23" i="48" s="1"/>
  <c r="J22" i="48"/>
  <c r="O22" i="48" s="1"/>
  <c r="J21" i="48"/>
  <c r="J20" i="48"/>
  <c r="J19" i="48"/>
  <c r="J18" i="48"/>
  <c r="J17" i="48"/>
  <c r="J16" i="48"/>
  <c r="O16" i="48" s="1"/>
  <c r="J15" i="48"/>
  <c r="O14" i="48"/>
  <c r="K14" i="48"/>
  <c r="L14" i="48" s="1"/>
  <c r="N24" i="47"/>
  <c r="I24" i="47"/>
  <c r="H24" i="47"/>
  <c r="G24" i="47"/>
  <c r="J23" i="47"/>
  <c r="O23" i="47" s="1"/>
  <c r="J22" i="47"/>
  <c r="O22" i="47" s="1"/>
  <c r="J21" i="47"/>
  <c r="O21" i="47" s="1"/>
  <c r="J20" i="47"/>
  <c r="O20" i="47" s="1"/>
  <c r="J19" i="47"/>
  <c r="O19" i="47" s="1"/>
  <c r="J18" i="47"/>
  <c r="O18" i="47" s="1"/>
  <c r="J17" i="47"/>
  <c r="O17" i="47" s="1"/>
  <c r="J16" i="47"/>
  <c r="O16" i="47" s="1"/>
  <c r="J15" i="47"/>
  <c r="O14" i="47"/>
  <c r="K14" i="47"/>
  <c r="L14" i="47" s="1"/>
  <c r="N24" i="46"/>
  <c r="I24" i="46"/>
  <c r="H24" i="46"/>
  <c r="G24" i="46"/>
  <c r="J23" i="46"/>
  <c r="O23" i="46" s="1"/>
  <c r="J22" i="46"/>
  <c r="O22" i="46" s="1"/>
  <c r="J21" i="46"/>
  <c r="O21" i="46" s="1"/>
  <c r="J20" i="46"/>
  <c r="O20" i="46" s="1"/>
  <c r="J19" i="46"/>
  <c r="O19" i="46" s="1"/>
  <c r="J18" i="46"/>
  <c r="O18" i="46" s="1"/>
  <c r="J17" i="46"/>
  <c r="O17" i="46" s="1"/>
  <c r="J16" i="46"/>
  <c r="O16" i="46" s="1"/>
  <c r="J15" i="46"/>
  <c r="O14" i="46"/>
  <c r="K14" i="46"/>
  <c r="L14" i="46" s="1"/>
  <c r="N24" i="45"/>
  <c r="J23" i="45"/>
  <c r="O23" i="45" s="1"/>
  <c r="J22" i="45"/>
  <c r="O22" i="45" s="1"/>
  <c r="J21" i="45"/>
  <c r="O21" i="45" s="1"/>
  <c r="J20" i="45"/>
  <c r="O20" i="45" s="1"/>
  <c r="J19" i="45"/>
  <c r="O19" i="45" s="1"/>
  <c r="J18" i="45"/>
  <c r="O18" i="45" s="1"/>
  <c r="J17" i="45"/>
  <c r="O17" i="45" s="1"/>
  <c r="J16" i="45"/>
  <c r="O16" i="45" s="1"/>
  <c r="J15" i="45"/>
  <c r="O14" i="45"/>
  <c r="K14" i="45"/>
  <c r="L14" i="45" s="1"/>
  <c r="N24" i="44"/>
  <c r="I24" i="44"/>
  <c r="H24" i="44"/>
  <c r="G24" i="44"/>
  <c r="J23" i="44"/>
  <c r="K23" i="44" s="1"/>
  <c r="L23" i="44" s="1"/>
  <c r="J22" i="44"/>
  <c r="K22" i="44" s="1"/>
  <c r="L22" i="44" s="1"/>
  <c r="O21" i="44"/>
  <c r="J21" i="44"/>
  <c r="K21" i="44" s="1"/>
  <c r="L21" i="44" s="1"/>
  <c r="J20" i="44"/>
  <c r="K20" i="44" s="1"/>
  <c r="L20" i="44" s="1"/>
  <c r="J19" i="44"/>
  <c r="K19" i="44" s="1"/>
  <c r="L19" i="44" s="1"/>
  <c r="J18" i="44"/>
  <c r="K18" i="44" s="1"/>
  <c r="L18" i="44" s="1"/>
  <c r="J17" i="44"/>
  <c r="K17" i="44" s="1"/>
  <c r="L17" i="44" s="1"/>
  <c r="J16" i="44"/>
  <c r="K16" i="44" s="1"/>
  <c r="L16" i="44" s="1"/>
  <c r="J15" i="44"/>
  <c r="K15" i="44" s="1"/>
  <c r="L15" i="44" s="1"/>
  <c r="O14" i="44"/>
  <c r="K14" i="44"/>
  <c r="L14" i="44" s="1"/>
  <c r="H15" i="43"/>
  <c r="H24" i="43" s="1"/>
  <c r="N24" i="43"/>
  <c r="I24" i="43"/>
  <c r="G24" i="43"/>
  <c r="J23" i="43"/>
  <c r="O23" i="43" s="1"/>
  <c r="J22" i="43"/>
  <c r="O22" i="43" s="1"/>
  <c r="J21" i="43"/>
  <c r="O21" i="43" s="1"/>
  <c r="J20" i="43"/>
  <c r="O20" i="43" s="1"/>
  <c r="J19" i="43"/>
  <c r="O19" i="43" s="1"/>
  <c r="J18" i="43"/>
  <c r="O18" i="43" s="1"/>
  <c r="J17" i="43"/>
  <c r="O17" i="43" s="1"/>
  <c r="J16" i="43"/>
  <c r="O16" i="43" s="1"/>
  <c r="J15" i="43"/>
  <c r="O14" i="43"/>
  <c r="K14" i="43"/>
  <c r="L14" i="43" s="1"/>
  <c r="I15" i="42"/>
  <c r="I19" i="42"/>
  <c r="J19" i="42" s="1"/>
  <c r="O19" i="42" s="1"/>
  <c r="H15" i="42"/>
  <c r="H24" i="42" s="1"/>
  <c r="N24" i="42"/>
  <c r="G24" i="42"/>
  <c r="J23" i="42"/>
  <c r="O23" i="42" s="1"/>
  <c r="J22" i="42"/>
  <c r="O22" i="42" s="1"/>
  <c r="J21" i="42"/>
  <c r="O21" i="42" s="1"/>
  <c r="J20" i="42"/>
  <c r="O20" i="42" s="1"/>
  <c r="J18" i="42"/>
  <c r="O18" i="42" s="1"/>
  <c r="J17" i="42"/>
  <c r="O17" i="42" s="1"/>
  <c r="J16" i="42"/>
  <c r="O16" i="42" s="1"/>
  <c r="O14" i="42"/>
  <c r="L14" i="42"/>
  <c r="K14" i="42"/>
  <c r="N24" i="41"/>
  <c r="J23" i="41"/>
  <c r="K23" i="41" s="1"/>
  <c r="L23" i="41" s="1"/>
  <c r="J22" i="41"/>
  <c r="O22" i="41" s="1"/>
  <c r="J21" i="41"/>
  <c r="O21" i="41" s="1"/>
  <c r="J20" i="41"/>
  <c r="O20" i="41" s="1"/>
  <c r="J19" i="41"/>
  <c r="O19" i="41" s="1"/>
  <c r="J18" i="41"/>
  <c r="O18" i="41" s="1"/>
  <c r="J17" i="41"/>
  <c r="K17" i="41" s="1"/>
  <c r="L17" i="41" s="1"/>
  <c r="J16" i="41"/>
  <c r="O16" i="41" s="1"/>
  <c r="J15" i="41"/>
  <c r="O15" i="41" s="1"/>
  <c r="O14" i="41"/>
  <c r="K14" i="41"/>
  <c r="L14" i="41" s="1"/>
  <c r="I24" i="40"/>
  <c r="H24" i="40"/>
  <c r="N24" i="40"/>
  <c r="G24" i="40"/>
  <c r="K22" i="40"/>
  <c r="L22" i="40" s="1"/>
  <c r="J21" i="40"/>
  <c r="K21" i="40" s="1"/>
  <c r="L21" i="40" s="1"/>
  <c r="J20" i="40"/>
  <c r="K20" i="40" s="1"/>
  <c r="L20" i="40" s="1"/>
  <c r="J19" i="40"/>
  <c r="K19" i="40" s="1"/>
  <c r="L19" i="40" s="1"/>
  <c r="J18" i="40"/>
  <c r="K18" i="40" s="1"/>
  <c r="L18" i="40" s="1"/>
  <c r="J17" i="40"/>
  <c r="K17" i="40" s="1"/>
  <c r="L17" i="40" s="1"/>
  <c r="J16" i="40"/>
  <c r="K16" i="40" s="1"/>
  <c r="L16" i="40" s="1"/>
  <c r="J15" i="40"/>
  <c r="K15" i="40" s="1"/>
  <c r="L15" i="40" s="1"/>
  <c r="O14" i="40"/>
  <c r="K14" i="40"/>
  <c r="L14" i="40" s="1"/>
  <c r="H22" i="39"/>
  <c r="I21" i="39"/>
  <c r="N24" i="39"/>
  <c r="G24" i="39"/>
  <c r="J23" i="39"/>
  <c r="O23" i="39" s="1"/>
  <c r="J20" i="39"/>
  <c r="O20" i="39" s="1"/>
  <c r="J19" i="39"/>
  <c r="O19" i="39" s="1"/>
  <c r="J18" i="39"/>
  <c r="O18" i="39" s="1"/>
  <c r="J17" i="39"/>
  <c r="O17" i="39" s="1"/>
  <c r="J16" i="39"/>
  <c r="O16" i="39" s="1"/>
  <c r="J15" i="39"/>
  <c r="O14" i="39"/>
  <c r="K14" i="39"/>
  <c r="L14" i="39" s="1"/>
  <c r="N24" i="38"/>
  <c r="I24" i="38"/>
  <c r="H24" i="38"/>
  <c r="G24" i="38"/>
  <c r="J23" i="38"/>
  <c r="K23" i="38" s="1"/>
  <c r="L23" i="38" s="1"/>
  <c r="J22" i="38"/>
  <c r="K22" i="38" s="1"/>
  <c r="L22" i="38" s="1"/>
  <c r="J21" i="38"/>
  <c r="K21" i="38" s="1"/>
  <c r="L21" i="38" s="1"/>
  <c r="J20" i="38"/>
  <c r="K20" i="38" s="1"/>
  <c r="L20" i="38" s="1"/>
  <c r="J19" i="38"/>
  <c r="K19" i="38" s="1"/>
  <c r="L19" i="38" s="1"/>
  <c r="J18" i="38"/>
  <c r="K18" i="38" s="1"/>
  <c r="L18" i="38" s="1"/>
  <c r="J17" i="38"/>
  <c r="K17" i="38" s="1"/>
  <c r="L17" i="38" s="1"/>
  <c r="J16" i="38"/>
  <c r="K16" i="38" s="1"/>
  <c r="L16" i="38" s="1"/>
  <c r="J15" i="38"/>
  <c r="K15" i="38" s="1"/>
  <c r="L15" i="38" s="1"/>
  <c r="O14" i="38"/>
  <c r="K14" i="38"/>
  <c r="L14" i="38" s="1"/>
  <c r="J24" i="56" l="1"/>
  <c r="O24" i="56" s="1"/>
  <c r="O21" i="56"/>
  <c r="O17" i="56"/>
  <c r="O18" i="48"/>
  <c r="K18" i="48"/>
  <c r="L18" i="48" s="1"/>
  <c r="O20" i="48"/>
  <c r="K20" i="48"/>
  <c r="O17" i="48"/>
  <c r="K17" i="48"/>
  <c r="O21" i="48"/>
  <c r="K21" i="48"/>
  <c r="O19" i="48"/>
  <c r="K19" i="48"/>
  <c r="L19" i="48" s="1"/>
  <c r="K20" i="41"/>
  <c r="L20" i="41" s="1"/>
  <c r="O16" i="38"/>
  <c r="H24" i="39"/>
  <c r="O15" i="40"/>
  <c r="K16" i="41"/>
  <c r="L16" i="41" s="1"/>
  <c r="K19" i="41"/>
  <c r="L19" i="41" s="1"/>
  <c r="K22" i="41"/>
  <c r="L22" i="41" s="1"/>
  <c r="O20" i="44"/>
  <c r="K16" i="53"/>
  <c r="L16" i="53" s="1"/>
  <c r="K16" i="56"/>
  <c r="L16" i="56" s="1"/>
  <c r="K18" i="56"/>
  <c r="L18" i="56" s="1"/>
  <c r="K20" i="56"/>
  <c r="L20" i="56" s="1"/>
  <c r="O15" i="38"/>
  <c r="K21" i="41"/>
  <c r="L21" i="41" s="1"/>
  <c r="O22" i="52"/>
  <c r="K19" i="53"/>
  <c r="L19" i="53" s="1"/>
  <c r="O23" i="56"/>
  <c r="J24" i="55"/>
  <c r="K24" i="55" s="1"/>
  <c r="L24" i="55" s="1"/>
  <c r="O17" i="38"/>
  <c r="O16" i="40"/>
  <c r="O22" i="40"/>
  <c r="K18" i="41"/>
  <c r="L18" i="41" s="1"/>
  <c r="O23" i="41"/>
  <c r="K23" i="52"/>
  <c r="L23" i="52" s="1"/>
  <c r="K29" i="53"/>
  <c r="L29" i="53" s="1"/>
  <c r="O19" i="44"/>
  <c r="K23" i="40"/>
  <c r="L23" i="40" s="1"/>
  <c r="I24" i="42"/>
  <c r="J24" i="43"/>
  <c r="K24" i="43" s="1"/>
  <c r="L24" i="43" s="1"/>
  <c r="K22" i="56"/>
  <c r="L22" i="56" s="1"/>
  <c r="O17" i="40"/>
  <c r="O16" i="44"/>
  <c r="K15" i="53"/>
  <c r="L15" i="53" s="1"/>
  <c r="O23" i="44"/>
  <c r="O20" i="53"/>
  <c r="J24" i="50"/>
  <c r="K24" i="50" s="1"/>
  <c r="L24" i="50" s="1"/>
  <c r="O23" i="38"/>
  <c r="J15" i="42"/>
  <c r="J24" i="42" s="1"/>
  <c r="O18" i="44"/>
  <c r="O22" i="44"/>
  <c r="J24" i="49"/>
  <c r="K21" i="53"/>
  <c r="L21" i="53" s="1"/>
  <c r="K15" i="56"/>
  <c r="L15" i="56" s="1"/>
  <c r="O15" i="56"/>
  <c r="O24" i="55"/>
  <c r="K15" i="55"/>
  <c r="L15" i="55" s="1"/>
  <c r="K16" i="55"/>
  <c r="L16" i="55" s="1"/>
  <c r="K17" i="55"/>
  <c r="L17" i="55" s="1"/>
  <c r="K18" i="55"/>
  <c r="L18" i="55" s="1"/>
  <c r="K19" i="55"/>
  <c r="L19" i="55" s="1"/>
  <c r="K20" i="55"/>
  <c r="L20" i="55" s="1"/>
  <c r="K21" i="55"/>
  <c r="L21" i="55" s="1"/>
  <c r="K22" i="55"/>
  <c r="L22" i="55" s="1"/>
  <c r="K23" i="55"/>
  <c r="L23" i="55" s="1"/>
  <c r="O15" i="55"/>
  <c r="K22" i="53"/>
  <c r="L22" i="53" s="1"/>
  <c r="O17" i="53"/>
  <c r="K18" i="53"/>
  <c r="L18" i="53" s="1"/>
  <c r="K24" i="53"/>
  <c r="L24" i="53" s="1"/>
  <c r="K26" i="53"/>
  <c r="L26" i="53" s="1"/>
  <c r="K28" i="53"/>
  <c r="L28" i="53" s="1"/>
  <c r="J30" i="53"/>
  <c r="K23" i="53"/>
  <c r="L23" i="53" s="1"/>
  <c r="K25" i="53"/>
  <c r="L25" i="53" s="1"/>
  <c r="K27" i="53"/>
  <c r="L27" i="53" s="1"/>
  <c r="O20" i="52"/>
  <c r="K17" i="52"/>
  <c r="L17" i="52" s="1"/>
  <c r="K16" i="52"/>
  <c r="L16" i="52" s="1"/>
  <c r="K21" i="52"/>
  <c r="L21" i="52" s="1"/>
  <c r="J24" i="52"/>
  <c r="I24" i="52"/>
  <c r="K19" i="52"/>
  <c r="L19" i="52" s="1"/>
  <c r="O19" i="52"/>
  <c r="J24" i="51"/>
  <c r="O24" i="51" s="1"/>
  <c r="K15" i="51"/>
  <c r="L15" i="51" s="1"/>
  <c r="K16" i="51"/>
  <c r="L16" i="51" s="1"/>
  <c r="K17" i="51"/>
  <c r="L17" i="51" s="1"/>
  <c r="K18" i="51"/>
  <c r="L18" i="51" s="1"/>
  <c r="K19" i="51"/>
  <c r="L19" i="51" s="1"/>
  <c r="K20" i="51"/>
  <c r="L20" i="51" s="1"/>
  <c r="K21" i="51"/>
  <c r="L21" i="51" s="1"/>
  <c r="K22" i="51"/>
  <c r="L22" i="51" s="1"/>
  <c r="K23" i="51"/>
  <c r="L23" i="51" s="1"/>
  <c r="O15" i="51"/>
  <c r="K15" i="50"/>
  <c r="L15" i="50" s="1"/>
  <c r="K16" i="50"/>
  <c r="L16" i="50" s="1"/>
  <c r="K17" i="50"/>
  <c r="L17" i="50" s="1"/>
  <c r="K18" i="50"/>
  <c r="L18" i="50" s="1"/>
  <c r="K19" i="50"/>
  <c r="L19" i="50" s="1"/>
  <c r="K20" i="50"/>
  <c r="L20" i="50" s="1"/>
  <c r="K21" i="50"/>
  <c r="L21" i="50" s="1"/>
  <c r="K22" i="50"/>
  <c r="L22" i="50" s="1"/>
  <c r="K23" i="50"/>
  <c r="L23" i="50" s="1"/>
  <c r="O15" i="50"/>
  <c r="K24" i="49"/>
  <c r="L24" i="49" s="1"/>
  <c r="O24" i="49"/>
  <c r="K15" i="49"/>
  <c r="L15" i="49" s="1"/>
  <c r="K16" i="49"/>
  <c r="L16" i="49" s="1"/>
  <c r="K17" i="49"/>
  <c r="L17" i="49" s="1"/>
  <c r="K18" i="49"/>
  <c r="L18" i="49" s="1"/>
  <c r="K19" i="49"/>
  <c r="L19" i="49" s="1"/>
  <c r="K20" i="49"/>
  <c r="L20" i="49" s="1"/>
  <c r="K21" i="49"/>
  <c r="L21" i="49" s="1"/>
  <c r="K22" i="49"/>
  <c r="L22" i="49" s="1"/>
  <c r="K23" i="49"/>
  <c r="L23" i="49" s="1"/>
  <c r="O15" i="49"/>
  <c r="J24" i="48"/>
  <c r="L15" i="48"/>
  <c r="L16" i="48"/>
  <c r="L17" i="48"/>
  <c r="L20" i="48"/>
  <c r="L21" i="48"/>
  <c r="K22" i="48"/>
  <c r="L22" i="48" s="1"/>
  <c r="K23" i="48"/>
  <c r="L23" i="48" s="1"/>
  <c r="O15" i="48"/>
  <c r="J24" i="47"/>
  <c r="O24" i="47" s="1"/>
  <c r="K15" i="47"/>
  <c r="L15" i="47" s="1"/>
  <c r="K16" i="47"/>
  <c r="L16" i="47" s="1"/>
  <c r="K17" i="47"/>
  <c r="L17" i="47" s="1"/>
  <c r="K18" i="47"/>
  <c r="L18" i="47" s="1"/>
  <c r="K19" i="47"/>
  <c r="L19" i="47" s="1"/>
  <c r="K20" i="47"/>
  <c r="L20" i="47" s="1"/>
  <c r="K21" i="47"/>
  <c r="L21" i="47" s="1"/>
  <c r="K22" i="47"/>
  <c r="L22" i="47" s="1"/>
  <c r="K23" i="47"/>
  <c r="L23" i="47" s="1"/>
  <c r="O15" i="47"/>
  <c r="J24" i="46"/>
  <c r="K24" i="46" s="1"/>
  <c r="L24" i="46" s="1"/>
  <c r="K15" i="46"/>
  <c r="L15" i="46" s="1"/>
  <c r="K16" i="46"/>
  <c r="L16" i="46" s="1"/>
  <c r="K17" i="46"/>
  <c r="L17" i="46" s="1"/>
  <c r="K18" i="46"/>
  <c r="L18" i="46" s="1"/>
  <c r="K19" i="46"/>
  <c r="L19" i="46" s="1"/>
  <c r="K20" i="46"/>
  <c r="L20" i="46" s="1"/>
  <c r="K21" i="46"/>
  <c r="L21" i="46" s="1"/>
  <c r="K22" i="46"/>
  <c r="L22" i="46" s="1"/>
  <c r="K23" i="46"/>
  <c r="L23" i="46" s="1"/>
  <c r="O15" i="46"/>
  <c r="K24" i="45"/>
  <c r="L24" i="45" s="1"/>
  <c r="K15" i="45"/>
  <c r="L15" i="45" s="1"/>
  <c r="K16" i="45"/>
  <c r="L16" i="45" s="1"/>
  <c r="K17" i="45"/>
  <c r="L17" i="45" s="1"/>
  <c r="K18" i="45"/>
  <c r="L18" i="45" s="1"/>
  <c r="K19" i="45"/>
  <c r="L19" i="45" s="1"/>
  <c r="K20" i="45"/>
  <c r="L20" i="45" s="1"/>
  <c r="K21" i="45"/>
  <c r="L21" i="45" s="1"/>
  <c r="K22" i="45"/>
  <c r="L22" i="45" s="1"/>
  <c r="K23" i="45"/>
  <c r="L23" i="45" s="1"/>
  <c r="O15" i="45"/>
  <c r="O15" i="44"/>
  <c r="O17" i="44"/>
  <c r="J24" i="44"/>
  <c r="K24" i="44" s="1"/>
  <c r="L24" i="44" s="1"/>
  <c r="K15" i="41"/>
  <c r="L15" i="41" s="1"/>
  <c r="O17" i="41"/>
  <c r="K24" i="41"/>
  <c r="L24" i="41" s="1"/>
  <c r="O24" i="43"/>
  <c r="K15" i="43"/>
  <c r="L15" i="43" s="1"/>
  <c r="K16" i="43"/>
  <c r="L16" i="43" s="1"/>
  <c r="K17" i="43"/>
  <c r="L17" i="43" s="1"/>
  <c r="K18" i="43"/>
  <c r="L18" i="43" s="1"/>
  <c r="K19" i="43"/>
  <c r="L19" i="43" s="1"/>
  <c r="K20" i="43"/>
  <c r="L20" i="43" s="1"/>
  <c r="K21" i="43"/>
  <c r="L21" i="43" s="1"/>
  <c r="K22" i="43"/>
  <c r="L22" i="43" s="1"/>
  <c r="K23" i="43"/>
  <c r="L23" i="43" s="1"/>
  <c r="O15" i="43"/>
  <c r="K16" i="42"/>
  <c r="L16" i="42" s="1"/>
  <c r="K17" i="42"/>
  <c r="L17" i="42" s="1"/>
  <c r="K18" i="42"/>
  <c r="L18" i="42" s="1"/>
  <c r="K19" i="42"/>
  <c r="L19" i="42" s="1"/>
  <c r="K20" i="42"/>
  <c r="L20" i="42" s="1"/>
  <c r="K21" i="42"/>
  <c r="L21" i="42" s="1"/>
  <c r="K22" i="42"/>
  <c r="L22" i="42" s="1"/>
  <c r="K23" i="42"/>
  <c r="L23" i="42" s="1"/>
  <c r="O23" i="40"/>
  <c r="O18" i="40"/>
  <c r="O21" i="40"/>
  <c r="O20" i="40"/>
  <c r="O19" i="40"/>
  <c r="J24" i="40"/>
  <c r="O24" i="40" s="1"/>
  <c r="I24" i="39"/>
  <c r="J22" i="39"/>
  <c r="O22" i="39" s="1"/>
  <c r="J21" i="39"/>
  <c r="O21" i="39" s="1"/>
  <c r="K15" i="39"/>
  <c r="L15" i="39" s="1"/>
  <c r="K16" i="39"/>
  <c r="L16" i="39" s="1"/>
  <c r="K17" i="39"/>
  <c r="L17" i="39" s="1"/>
  <c r="K18" i="39"/>
  <c r="L18" i="39" s="1"/>
  <c r="K19" i="39"/>
  <c r="L19" i="39" s="1"/>
  <c r="K20" i="39"/>
  <c r="L20" i="39" s="1"/>
  <c r="K23" i="39"/>
  <c r="L23" i="39" s="1"/>
  <c r="O15" i="39"/>
  <c r="O20" i="38"/>
  <c r="O22" i="38"/>
  <c r="O21" i="38"/>
  <c r="J24" i="38"/>
  <c r="K24" i="38" s="1"/>
  <c r="L24" i="38" s="1"/>
  <c r="O19" i="38"/>
  <c r="O18" i="38"/>
  <c r="K24" i="56" l="1"/>
  <c r="L24" i="56" s="1"/>
  <c r="K30" i="53"/>
  <c r="L30" i="53" s="1"/>
  <c r="O24" i="52"/>
  <c r="O24" i="48"/>
  <c r="O24" i="45"/>
  <c r="K24" i="48"/>
  <c r="L24" i="48" s="1"/>
  <c r="O24" i="50"/>
  <c r="K24" i="42"/>
  <c r="L24" i="42" s="1"/>
  <c r="O24" i="42"/>
  <c r="K24" i="47"/>
  <c r="L24" i="47" s="1"/>
  <c r="O15" i="42"/>
  <c r="K21" i="39"/>
  <c r="L21" i="39" s="1"/>
  <c r="K15" i="42"/>
  <c r="L15" i="42" s="1"/>
  <c r="O30" i="53"/>
  <c r="K24" i="52"/>
  <c r="L24" i="52" s="1"/>
  <c r="K24" i="51"/>
  <c r="L24" i="51" s="1"/>
  <c r="O24" i="46"/>
  <c r="O24" i="44"/>
  <c r="O24" i="41"/>
  <c r="K24" i="40"/>
  <c r="L24" i="40" s="1"/>
  <c r="K22" i="39"/>
  <c r="L22" i="39" s="1"/>
  <c r="J24" i="39"/>
  <c r="K24" i="39" s="1"/>
  <c r="L24" i="39" s="1"/>
  <c r="O24" i="38"/>
  <c r="O24" i="39" l="1"/>
  <c r="N24" i="37" l="1"/>
  <c r="I24" i="37"/>
  <c r="H24" i="37"/>
  <c r="G24" i="37"/>
  <c r="J23" i="37"/>
  <c r="K23" i="37" s="1"/>
  <c r="L23" i="37" s="1"/>
  <c r="K22" i="37"/>
  <c r="L22" i="37" s="1"/>
  <c r="K21" i="37"/>
  <c r="L21" i="37" s="1"/>
  <c r="K20" i="37"/>
  <c r="L20" i="37" s="1"/>
  <c r="K19" i="37"/>
  <c r="L19" i="37" s="1"/>
  <c r="J18" i="37"/>
  <c r="K18" i="37" s="1"/>
  <c r="L18" i="37" s="1"/>
  <c r="J17" i="37"/>
  <c r="K17" i="37" s="1"/>
  <c r="L17" i="37" s="1"/>
  <c r="J16" i="37"/>
  <c r="O16" i="37" s="1"/>
  <c r="J15" i="37"/>
  <c r="O15" i="37" s="1"/>
  <c r="O14" i="37"/>
  <c r="K14" i="37"/>
  <c r="L14" i="37" s="1"/>
  <c r="O21" i="37" l="1"/>
  <c r="K16" i="37"/>
  <c r="L16" i="37" s="1"/>
  <c r="O17" i="37"/>
  <c r="K15" i="37"/>
  <c r="L15" i="37" s="1"/>
  <c r="O23" i="37"/>
  <c r="O18" i="37"/>
  <c r="O22" i="37"/>
  <c r="O19" i="37"/>
  <c r="O20" i="37"/>
  <c r="J24" i="37"/>
  <c r="O24" i="37" s="1"/>
  <c r="K24" i="37" l="1"/>
  <c r="L24" i="37" s="1"/>
  <c r="O20" i="36" l="1"/>
  <c r="O23" i="36"/>
  <c r="O24" i="36"/>
  <c r="O21" i="36"/>
  <c r="N28" i="36"/>
  <c r="G28" i="36"/>
  <c r="G30" i="36" s="1"/>
  <c r="J27" i="36"/>
  <c r="O27" i="36" s="1"/>
  <c r="J26" i="36"/>
  <c r="O26" i="36" s="1"/>
  <c r="O25" i="36"/>
  <c r="J19" i="36"/>
  <c r="O19" i="36" s="1"/>
  <c r="J18" i="36"/>
  <c r="O18" i="36" s="1"/>
  <c r="J17" i="36"/>
  <c r="O17" i="36" s="1"/>
  <c r="J16" i="36"/>
  <c r="O16" i="36" s="1"/>
  <c r="J15" i="36"/>
  <c r="O14" i="36"/>
  <c r="L14" i="36"/>
  <c r="K14" i="36"/>
  <c r="H18" i="35"/>
  <c r="H19" i="35" s="1"/>
  <c r="H28" i="36" l="1"/>
  <c r="H30" i="36" s="1"/>
  <c r="K21" i="36"/>
  <c r="L21" i="36" s="1"/>
  <c r="K24" i="36"/>
  <c r="L24" i="36" s="1"/>
  <c r="K23" i="36"/>
  <c r="L23" i="36" s="1"/>
  <c r="K15" i="36"/>
  <c r="L15" i="36" s="1"/>
  <c r="K16" i="36"/>
  <c r="L16" i="36" s="1"/>
  <c r="K17" i="36"/>
  <c r="L17" i="36" s="1"/>
  <c r="K18" i="36"/>
  <c r="L18" i="36" s="1"/>
  <c r="K19" i="36"/>
  <c r="L19" i="36" s="1"/>
  <c r="K20" i="36"/>
  <c r="L20" i="36" s="1"/>
  <c r="K25" i="36"/>
  <c r="L25" i="36" s="1"/>
  <c r="K26" i="36"/>
  <c r="L26" i="36" s="1"/>
  <c r="K27" i="36"/>
  <c r="L27" i="36" s="1"/>
  <c r="O15" i="36"/>
  <c r="N24" i="35"/>
  <c r="H24" i="35"/>
  <c r="J23" i="35"/>
  <c r="K23" i="35" s="1"/>
  <c r="L23" i="35" s="1"/>
  <c r="J22" i="35"/>
  <c r="K22" i="35" s="1"/>
  <c r="L22" i="35" s="1"/>
  <c r="J21" i="35"/>
  <c r="K21" i="35" s="1"/>
  <c r="L21" i="35" s="1"/>
  <c r="G19" i="35"/>
  <c r="I19" i="35" s="1"/>
  <c r="G18" i="35"/>
  <c r="G24" i="35" s="1"/>
  <c r="J17" i="35"/>
  <c r="O17" i="35" s="1"/>
  <c r="J16" i="35"/>
  <c r="O16" i="35" s="1"/>
  <c r="J15" i="35"/>
  <c r="O15" i="35" s="1"/>
  <c r="O14" i="35"/>
  <c r="K14" i="35"/>
  <c r="L14" i="35" s="1"/>
  <c r="O21" i="35" l="1"/>
  <c r="O23" i="35"/>
  <c r="J20" i="35"/>
  <c r="K20" i="35" s="1"/>
  <c r="L20" i="35" s="1"/>
  <c r="J18" i="35"/>
  <c r="O18" i="35" s="1"/>
  <c r="J19" i="35"/>
  <c r="O19" i="35" s="1"/>
  <c r="I28" i="36"/>
  <c r="I30" i="36" s="1"/>
  <c r="O20" i="35"/>
  <c r="O22" i="35"/>
  <c r="K16" i="35"/>
  <c r="L16" i="35" s="1"/>
  <c r="K15" i="35"/>
  <c r="L15" i="35" s="1"/>
  <c r="K17" i="35"/>
  <c r="L17" i="35" s="1"/>
  <c r="J24" i="35" l="1"/>
  <c r="I24" i="35"/>
  <c r="K18" i="35"/>
  <c r="L18" i="35" s="1"/>
  <c r="K19" i="35"/>
  <c r="L19" i="35" s="1"/>
  <c r="O24" i="35"/>
  <c r="K24" i="35" l="1"/>
  <c r="L24" i="35" s="1"/>
  <c r="O22" i="36"/>
  <c r="J28" i="36"/>
  <c r="K22" i="36"/>
  <c r="L22" i="36" s="1"/>
  <c r="E36" i="30"/>
  <c r="L36" i="30" s="1"/>
  <c r="E16" i="30"/>
  <c r="L16" i="30" s="1"/>
  <c r="E8" i="30"/>
  <c r="L8" i="30" s="1"/>
  <c r="K28" i="36" l="1"/>
  <c r="L28" i="36" s="1"/>
  <c r="O28" i="36"/>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A37" i="18"/>
  <c r="A38" i="18"/>
  <c r="A39" i="18"/>
  <c r="A40" i="18"/>
  <c r="A41" i="18"/>
  <c r="A42"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D14" i="23"/>
  <c r="G14" i="23" s="1"/>
  <c r="D26" i="23"/>
  <c r="G26" i="23" s="1"/>
  <c r="D24" i="23"/>
  <c r="G24" i="23" s="1"/>
  <c r="G22" i="23"/>
  <c r="D20" i="23"/>
  <c r="G20" i="23" s="1"/>
  <c r="D18" i="23"/>
  <c r="G18" i="23" s="1"/>
  <c r="D16" i="23"/>
  <c r="G16" i="23" s="1"/>
  <c r="M40" i="15" l="1"/>
  <c r="M39" i="15"/>
  <c r="Q39" i="15" s="1"/>
  <c r="M38" i="15"/>
  <c r="M35" i="15"/>
  <c r="M33" i="15"/>
  <c r="Q33" i="15" s="1"/>
  <c r="R33" i="15" s="1"/>
  <c r="M32" i="15"/>
  <c r="Q32" i="15" s="1"/>
  <c r="R32" i="15" s="1"/>
  <c r="M31" i="15"/>
  <c r="Q31" i="15" s="1"/>
  <c r="R31" i="15" s="1"/>
  <c r="M30" i="15"/>
  <c r="J25" i="52" l="1"/>
  <c r="J26" i="52" s="1"/>
  <c r="Q30" i="15"/>
  <c r="R30" i="15" s="1"/>
  <c r="J31" i="53"/>
  <c r="J32" i="53" s="1"/>
  <c r="Q35" i="15"/>
  <c r="E35" i="18"/>
  <c r="J25" i="55"/>
  <c r="J26" i="55" s="1"/>
  <c r="E32" i="18"/>
  <c r="Q38" i="15"/>
  <c r="E40" i="18"/>
  <c r="E34" i="18"/>
  <c r="E41" i="18"/>
  <c r="E37" i="18"/>
  <c r="E33" i="18"/>
  <c r="Q40" i="15"/>
  <c r="E42" i="18"/>
  <c r="P38" i="15"/>
  <c r="P39" i="15"/>
  <c r="P40" i="15"/>
  <c r="P35" i="15"/>
  <c r="P30" i="15"/>
  <c r="P31" i="15"/>
  <c r="P32" i="15"/>
  <c r="P33" i="15"/>
  <c r="O16" i="34" l="1"/>
  <c r="O17" i="34"/>
  <c r="O18" i="34"/>
  <c r="J19" i="34"/>
  <c r="O19" i="34" s="1"/>
  <c r="J20" i="34"/>
  <c r="O20" i="34" s="1"/>
  <c r="J21" i="34"/>
  <c r="O21" i="34" s="1"/>
  <c r="J22" i="34"/>
  <c r="O22" i="34" s="1"/>
  <c r="J23" i="34"/>
  <c r="O23" i="34" s="1"/>
  <c r="J15" i="34"/>
  <c r="O15" i="34" s="1"/>
  <c r="I24" i="34"/>
  <c r="H24" i="34"/>
  <c r="G24" i="34"/>
  <c r="M17" i="23"/>
  <c r="M14" i="23"/>
  <c r="F24" i="8"/>
  <c r="C44" i="8" s="1"/>
  <c r="E24" i="8"/>
  <c r="D24" i="8"/>
  <c r="C24" i="8"/>
  <c r="C16" i="8"/>
  <c r="E32" i="8"/>
  <c r="D32" i="8"/>
  <c r="F44" i="8" l="1"/>
  <c r="K23" i="34"/>
  <c r="L23" i="34" s="1"/>
  <c r="F32" i="8"/>
  <c r="J24" i="34"/>
  <c r="K15" i="34"/>
  <c r="L15" i="34" s="1"/>
  <c r="C32" i="8"/>
  <c r="M10" i="15"/>
  <c r="Q10" i="15" s="1"/>
  <c r="M11" i="15"/>
  <c r="M12" i="15"/>
  <c r="M13" i="15"/>
  <c r="Q13" i="15" s="1"/>
  <c r="M14" i="15"/>
  <c r="Q14" i="15" s="1"/>
  <c r="M15" i="15"/>
  <c r="Q15" i="15" s="1"/>
  <c r="M16" i="15"/>
  <c r="Q16" i="15" s="1"/>
  <c r="M17" i="15"/>
  <c r="M18" i="15"/>
  <c r="Q18" i="15" s="1"/>
  <c r="M19" i="15"/>
  <c r="Q19" i="15" s="1"/>
  <c r="M20" i="15"/>
  <c r="M21" i="15"/>
  <c r="Q21" i="15" s="1"/>
  <c r="M22" i="15"/>
  <c r="Q22" i="15" s="1"/>
  <c r="M23" i="15"/>
  <c r="M24" i="15"/>
  <c r="Q24" i="15" s="1"/>
  <c r="M25" i="15"/>
  <c r="M26" i="15"/>
  <c r="Q26" i="15" s="1"/>
  <c r="R26" i="15" s="1"/>
  <c r="M27" i="15"/>
  <c r="Q27" i="15" s="1"/>
  <c r="R27" i="15" s="1"/>
  <c r="M28" i="15"/>
  <c r="M29" i="15"/>
  <c r="M34" i="15"/>
  <c r="M36" i="15"/>
  <c r="J25" i="57" s="1"/>
  <c r="M37" i="15"/>
  <c r="M9" i="15"/>
  <c r="Q20" i="15" l="1"/>
  <c r="J25" i="46"/>
  <c r="J26" i="46" s="1"/>
  <c r="K24" i="34"/>
  <c r="L24" i="34" s="1"/>
  <c r="Q28" i="15"/>
  <c r="R28" i="15" s="1"/>
  <c r="G44" i="8"/>
  <c r="Q36" i="15"/>
  <c r="Q9" i="15"/>
  <c r="Q11" i="15"/>
  <c r="J25" i="38"/>
  <c r="Q12" i="15"/>
  <c r="J25" i="49"/>
  <c r="J26" i="49" s="1"/>
  <c r="Q23" i="15"/>
  <c r="J25" i="56"/>
  <c r="J26" i="56" s="1"/>
  <c r="Q34" i="15"/>
  <c r="R34" i="15" s="1"/>
  <c r="J26" i="34"/>
  <c r="J25" i="34" s="1"/>
  <c r="Q29" i="15"/>
  <c r="R29" i="15" s="1"/>
  <c r="J26" i="59"/>
  <c r="Q25" i="15"/>
  <c r="J25" i="41"/>
  <c r="J26" i="41" s="1"/>
  <c r="Q17" i="15"/>
  <c r="E39" i="18"/>
  <c r="Q37" i="15"/>
  <c r="E30" i="18"/>
  <c r="J26" i="60"/>
  <c r="J25" i="60" s="1"/>
  <c r="E26" i="18"/>
  <c r="J26" i="58"/>
  <c r="E22" i="18"/>
  <c r="E18" i="18"/>
  <c r="J25" i="43"/>
  <c r="J26" i="43" s="1"/>
  <c r="E29" i="18"/>
  <c r="J25" i="51"/>
  <c r="J26" i="51" s="1"/>
  <c r="E21" i="18"/>
  <c r="J25" i="45"/>
  <c r="J26" i="45" s="1"/>
  <c r="E17" i="18"/>
  <c r="J25" i="42"/>
  <c r="J26" i="42" s="1"/>
  <c r="E13" i="18"/>
  <c r="J25" i="37"/>
  <c r="E28" i="18"/>
  <c r="J25" i="50"/>
  <c r="J26" i="50" s="1"/>
  <c r="E24" i="18"/>
  <c r="J25" i="48"/>
  <c r="J26" i="48" s="1"/>
  <c r="E20" i="18"/>
  <c r="J25" i="44"/>
  <c r="J26" i="44" s="1"/>
  <c r="E16" i="18"/>
  <c r="J25" i="40"/>
  <c r="E12" i="18"/>
  <c r="J29" i="36"/>
  <c r="J30" i="36" s="1"/>
  <c r="M41" i="15"/>
  <c r="J25" i="35"/>
  <c r="E23" i="18"/>
  <c r="J25" i="47"/>
  <c r="E15" i="18"/>
  <c r="J25" i="39"/>
  <c r="E25" i="18"/>
  <c r="E31" i="18"/>
  <c r="E24" i="23"/>
  <c r="E22" i="23"/>
  <c r="E14" i="18"/>
  <c r="P9" i="15"/>
  <c r="E18" i="23"/>
  <c r="E26" i="23"/>
  <c r="E38" i="18"/>
  <c r="E27" i="18"/>
  <c r="E20" i="23"/>
  <c r="E19" i="18"/>
  <c r="E14" i="23"/>
  <c r="E16" i="23"/>
  <c r="E36" i="18"/>
  <c r="P14" i="15"/>
  <c r="P34" i="15"/>
  <c r="P13" i="15"/>
  <c r="P12" i="15"/>
  <c r="P22" i="15"/>
  <c r="P36" i="15"/>
  <c r="P28" i="15"/>
  <c r="P23" i="15"/>
  <c r="P20" i="15"/>
  <c r="P21" i="15"/>
  <c r="P29" i="15"/>
  <c r="P18" i="15"/>
  <c r="P15" i="15"/>
  <c r="P19" i="15"/>
  <c r="P27" i="15"/>
  <c r="P11" i="15"/>
  <c r="P10" i="15"/>
  <c r="P25" i="15"/>
  <c r="P17" i="15"/>
  <c r="P37" i="15"/>
  <c r="P24" i="15"/>
  <c r="P16" i="15"/>
  <c r="P26" i="15"/>
  <c r="F29" i="30" l="1"/>
  <c r="N29" i="30"/>
  <c r="Q41" i="15"/>
  <c r="R41" i="15" s="1"/>
  <c r="P41" i="15"/>
  <c r="K16" i="34"/>
  <c r="L16" i="34" s="1"/>
  <c r="K18" i="34"/>
  <c r="L18" i="34" s="1"/>
  <c r="K19" i="34"/>
  <c r="L19" i="34" s="1"/>
  <c r="K20" i="34"/>
  <c r="L20" i="34" s="1"/>
  <c r="K22" i="34"/>
  <c r="L22" i="34" s="1"/>
  <c r="O16" i="23"/>
  <c r="O8" i="23"/>
  <c r="N7" i="23"/>
  <c r="F26" i="23"/>
  <c r="F24" i="23"/>
  <c r="F22" i="23"/>
  <c r="F20" i="23"/>
  <c r="F18" i="23"/>
  <c r="F16" i="23"/>
  <c r="F14" i="23"/>
  <c r="C49" i="8"/>
  <c r="E30" i="8"/>
  <c r="E31" i="8"/>
  <c r="G15" i="8"/>
  <c r="G17" i="8"/>
  <c r="G18" i="8"/>
  <c r="G19" i="8"/>
  <c r="G20" i="8"/>
  <c r="G21" i="8"/>
  <c r="G22" i="8"/>
  <c r="G23" i="8"/>
  <c r="G25" i="8"/>
  <c r="G26" i="8"/>
  <c r="G28" i="8"/>
  <c r="G33" i="8"/>
  <c r="H33" i="8" s="1"/>
  <c r="G34" i="8"/>
  <c r="G35" i="8"/>
  <c r="G14" i="8"/>
  <c r="D31" i="8"/>
  <c r="D30" i="8"/>
  <c r="C31" i="8"/>
  <c r="C30" i="8"/>
  <c r="N14" i="23" l="1"/>
  <c r="N62" i="30"/>
  <c r="F31" i="8"/>
  <c r="F30" i="8"/>
  <c r="O7" i="23"/>
  <c r="K17" i="34"/>
  <c r="L17" i="34" s="1"/>
  <c r="K21" i="34"/>
  <c r="L21" i="34" s="1"/>
  <c r="E10" i="23"/>
  <c r="D10" i="23"/>
  <c r="G10" i="23" s="1"/>
  <c r="E8" i="23"/>
  <c r="D8" i="23"/>
  <c r="G8" i="23" s="1"/>
  <c r="N24" i="34"/>
  <c r="O24" i="34" s="1"/>
  <c r="O14" i="34"/>
  <c r="K14" i="34"/>
  <c r="L14" i="34" s="1"/>
  <c r="F10" i="23" l="1"/>
  <c r="F8" i="23"/>
  <c r="D11" i="18" l="1"/>
  <c r="C11" i="18"/>
  <c r="B11" i="18"/>
  <c r="A11" i="18"/>
  <c r="N17" i="23"/>
  <c r="E45" i="8"/>
  <c r="H35" i="8"/>
  <c r="H34" i="8"/>
  <c r="D29" i="8"/>
  <c r="D36" i="8" s="1"/>
  <c r="C29" i="8"/>
  <c r="H26" i="8"/>
  <c r="H25" i="8"/>
  <c r="B44" i="8"/>
  <c r="D44" i="8" s="1"/>
  <c r="H23" i="8"/>
  <c r="H22" i="8"/>
  <c r="H21" i="8"/>
  <c r="H20" i="8"/>
  <c r="H19" i="8"/>
  <c r="H18" i="8"/>
  <c r="H17" i="8"/>
  <c r="E16" i="8"/>
  <c r="D16" i="8"/>
  <c r="H15" i="8"/>
  <c r="H14" i="8"/>
  <c r="E13" i="8"/>
  <c r="C13" i="8"/>
  <c r="A3" i="15"/>
  <c r="C36" i="8" l="1"/>
  <c r="G16" i="8"/>
  <c r="H16" i="8" s="1"/>
  <c r="O14" i="23"/>
  <c r="O17" i="23"/>
  <c r="C48" i="8"/>
  <c r="C50" i="8" s="1"/>
  <c r="G24" i="8"/>
  <c r="H24" i="8" s="1"/>
  <c r="G13" i="8"/>
  <c r="H13" i="8" s="1"/>
  <c r="G32" i="8"/>
  <c r="H32" i="8" s="1"/>
  <c r="G30" i="8"/>
  <c r="H30" i="8" s="1"/>
  <c r="D12" i="8"/>
  <c r="D11" i="8" s="1"/>
  <c r="D10" i="8" s="1"/>
  <c r="E11" i="18"/>
  <c r="E12" i="8"/>
  <c r="E11" i="8" s="1"/>
  <c r="E10" i="8" s="1"/>
  <c r="E27" i="8" s="1"/>
  <c r="C12" i="8"/>
  <c r="E44" i="18" l="1"/>
  <c r="R44" i="18"/>
  <c r="B49" i="8"/>
  <c r="F43" i="8"/>
  <c r="E29" i="8"/>
  <c r="E7" i="23"/>
  <c r="C11" i="8"/>
  <c r="G12" i="8"/>
  <c r="H12" i="8" s="1"/>
  <c r="D27" i="8"/>
  <c r="D37" i="8" s="1"/>
  <c r="S11" i="18" l="1"/>
  <c r="S15" i="18"/>
  <c r="S19" i="18"/>
  <c r="S23" i="18"/>
  <c r="S27" i="18"/>
  <c r="S31" i="18"/>
  <c r="S35" i="18"/>
  <c r="S39" i="18"/>
  <c r="S43" i="18"/>
  <c r="J45" i="18"/>
  <c r="N45" i="18"/>
  <c r="R45" i="18"/>
  <c r="S12" i="18"/>
  <c r="S16" i="18"/>
  <c r="S20" i="18"/>
  <c r="S24" i="18"/>
  <c r="S28" i="18"/>
  <c r="S32" i="18"/>
  <c r="S36" i="18"/>
  <c r="S40" i="18"/>
  <c r="K45" i="18"/>
  <c r="O45" i="18"/>
  <c r="G45" i="18"/>
  <c r="S13" i="18"/>
  <c r="S17" i="18"/>
  <c r="S21" i="18"/>
  <c r="S25" i="18"/>
  <c r="S29" i="18"/>
  <c r="S33" i="18"/>
  <c r="S37" i="18"/>
  <c r="S41" i="18"/>
  <c r="H45" i="18"/>
  <c r="L45" i="18"/>
  <c r="S14" i="18"/>
  <c r="S18" i="18"/>
  <c r="S22" i="18"/>
  <c r="S26" i="18"/>
  <c r="S30" i="18"/>
  <c r="S34" i="18"/>
  <c r="S38" i="18"/>
  <c r="S42" i="18"/>
  <c r="I45" i="18"/>
  <c r="M45" i="18"/>
  <c r="Q45" i="18"/>
  <c r="P45" i="18"/>
  <c r="G43" i="8"/>
  <c r="E36" i="8"/>
  <c r="E37" i="8" s="1"/>
  <c r="D49" i="8"/>
  <c r="F27" i="8"/>
  <c r="G11" i="8"/>
  <c r="H11" i="8" s="1"/>
  <c r="F45" i="8"/>
  <c r="G45" i="8" s="1"/>
  <c r="C10" i="8"/>
  <c r="B43" i="8" s="1"/>
  <c r="D7" i="23"/>
  <c r="E9" i="23"/>
  <c r="G31" i="8"/>
  <c r="H31" i="8" s="1"/>
  <c r="F29" i="8"/>
  <c r="F36" i="8" s="1"/>
  <c r="B45" i="8" l="1"/>
  <c r="D43" i="8"/>
  <c r="D9" i="23"/>
  <c r="F9" i="23" s="1"/>
  <c r="G7" i="23"/>
  <c r="S44" i="18"/>
  <c r="F37" i="8"/>
  <c r="C27" i="8"/>
  <c r="C37" i="8" s="1"/>
  <c r="N9" i="23"/>
  <c r="B48" i="8"/>
  <c r="E11" i="23"/>
  <c r="F7" i="23"/>
  <c r="G10" i="8"/>
  <c r="H10" i="8" s="1"/>
  <c r="M9" i="23"/>
  <c r="G29" i="8"/>
  <c r="H29" i="8" s="1"/>
  <c r="I29" i="8"/>
  <c r="C45" i="8"/>
  <c r="D45" i="8" s="1"/>
  <c r="I21" i="8"/>
  <c r="I18" i="8"/>
  <c r="I14" i="8"/>
  <c r="I23" i="8"/>
  <c r="I20" i="8"/>
  <c r="I26" i="8"/>
  <c r="I15" i="8"/>
  <c r="I17" i="8"/>
  <c r="I22" i="8"/>
  <c r="I27" i="8"/>
  <c r="I19" i="8"/>
  <c r="I25" i="8"/>
  <c r="I12" i="8"/>
  <c r="I16" i="8"/>
  <c r="I24" i="8"/>
  <c r="I13" i="8"/>
  <c r="I11" i="8"/>
  <c r="I10" i="8"/>
  <c r="M15" i="23" l="1"/>
  <c r="D11" i="23"/>
  <c r="G9" i="23"/>
  <c r="N11" i="23"/>
  <c r="N15" i="23"/>
  <c r="O15" i="23" s="1"/>
  <c r="F11" i="23"/>
  <c r="G27" i="8"/>
  <c r="E23" i="23"/>
  <c r="E19" i="23"/>
  <c r="E25" i="23"/>
  <c r="D48" i="8"/>
  <c r="D50" i="8" s="1"/>
  <c r="B50" i="8"/>
  <c r="E15" i="23"/>
  <c r="E27" i="23"/>
  <c r="E17" i="23"/>
  <c r="E21" i="23"/>
  <c r="O9" i="23"/>
  <c r="I32" i="8"/>
  <c r="I33" i="8"/>
  <c r="I30" i="8"/>
  <c r="G36" i="8"/>
  <c r="H36" i="8" s="1"/>
  <c r="I35" i="8"/>
  <c r="I36" i="8"/>
  <c r="I34" i="8"/>
  <c r="I31" i="8"/>
  <c r="D21" i="23" l="1"/>
  <c r="G21" i="23" s="1"/>
  <c r="G11" i="23"/>
  <c r="D17" i="23"/>
  <c r="G17" i="23" s="1"/>
  <c r="D19" i="23"/>
  <c r="G19" i="23" s="1"/>
  <c r="D23" i="23"/>
  <c r="G23" i="23" s="1"/>
  <c r="D15" i="23"/>
  <c r="G15" i="23" s="1"/>
  <c r="D27" i="23"/>
  <c r="G27" i="23" s="1"/>
  <c r="D25" i="23"/>
  <c r="G25" i="23" s="1"/>
  <c r="H27" i="8"/>
  <c r="G37" i="8"/>
  <c r="F25" i="23" l="1"/>
  <c r="F17" i="23"/>
  <c r="F23" i="23"/>
  <c r="F27" i="23"/>
  <c r="F21" i="23"/>
  <c r="F15" i="23"/>
  <c r="F19" i="23"/>
</calcChain>
</file>

<file path=xl/comments1.xml><?xml version="1.0" encoding="utf-8"?>
<comments xmlns="http://schemas.openxmlformats.org/spreadsheetml/2006/main">
  <authors>
    <author>Tania Mara Chaves Daldegan</author>
  </authors>
  <commentList>
    <comment ref="E7" authorId="0" shapeId="0">
      <text>
        <r>
          <rPr>
            <b/>
            <sz val="24"/>
            <color indexed="81"/>
            <rFont val="Segoe UI"/>
            <family val="2"/>
          </rPr>
          <t>Meta da Programação 2020.</t>
        </r>
      </text>
    </comment>
    <comment ref="E11" authorId="0" shapeId="0">
      <text>
        <r>
          <rPr>
            <b/>
            <sz val="24"/>
            <color indexed="81"/>
            <rFont val="Segoe UI"/>
            <family val="2"/>
          </rPr>
          <t>Meta da Programação 2020.</t>
        </r>
      </text>
    </comment>
    <comment ref="E23" authorId="0" shapeId="0">
      <text>
        <r>
          <rPr>
            <b/>
            <sz val="24"/>
            <color indexed="81"/>
            <rFont val="Segoe UI"/>
            <family val="2"/>
          </rPr>
          <t>Meta da Programação 2020.</t>
        </r>
      </text>
    </comment>
    <comment ref="E28" authorId="0" shapeId="0">
      <text>
        <r>
          <rPr>
            <b/>
            <sz val="24"/>
            <color indexed="81"/>
            <rFont val="Segoe UI"/>
            <family val="2"/>
          </rPr>
          <t>Meta da Programação 2020.</t>
        </r>
      </text>
    </comment>
    <comment ref="E33" authorId="0" shapeId="0">
      <text>
        <r>
          <rPr>
            <b/>
            <sz val="24"/>
            <color indexed="81"/>
            <rFont val="Segoe UI"/>
            <family val="2"/>
          </rPr>
          <t>Meta da Programação 2020.</t>
        </r>
      </text>
    </comment>
    <comment ref="E38" authorId="0" shapeId="0">
      <text>
        <r>
          <rPr>
            <b/>
            <sz val="9"/>
            <color indexed="81"/>
            <rFont val="Segoe UI"/>
            <family val="2"/>
          </rPr>
          <t>Meta da Programação</t>
        </r>
      </text>
    </comment>
    <comment ref="E42" authorId="0" shapeId="0">
      <text>
        <r>
          <rPr>
            <b/>
            <sz val="24"/>
            <color indexed="81"/>
            <rFont val="Segoe UI"/>
            <family val="2"/>
          </rPr>
          <t>Meta da Programação 2020.</t>
        </r>
      </text>
    </comment>
    <comment ref="E48" authorId="0" shapeId="0">
      <text>
        <r>
          <rPr>
            <b/>
            <sz val="24"/>
            <color indexed="81"/>
            <rFont val="Segoe UI"/>
            <family val="2"/>
          </rPr>
          <t>Meta da Programação 2020.</t>
        </r>
      </text>
    </comment>
    <comment ref="E53" authorId="0" shapeId="0">
      <text>
        <r>
          <rPr>
            <b/>
            <sz val="24"/>
            <color indexed="81"/>
            <rFont val="Segoe UI"/>
            <family val="2"/>
          </rPr>
          <t>Meta da Programação 2020.</t>
        </r>
      </text>
    </comment>
    <comment ref="E58" authorId="0" shapeId="0">
      <text>
        <r>
          <rPr>
            <b/>
            <sz val="24"/>
            <color indexed="81"/>
            <rFont val="Segoe UI"/>
            <family val="2"/>
          </rPr>
          <t>Meta da Programação 2020.</t>
        </r>
      </text>
    </comment>
    <comment ref="E69" authorId="0" shapeId="0">
      <text>
        <r>
          <rPr>
            <b/>
            <sz val="24"/>
            <color indexed="81"/>
            <rFont val="Segoe UI"/>
            <family val="2"/>
          </rPr>
          <t>Meta da Programação 2020.</t>
        </r>
      </text>
    </comment>
    <comment ref="E72" authorId="0" shapeId="0">
      <text>
        <r>
          <rPr>
            <b/>
            <sz val="24"/>
            <color indexed="81"/>
            <rFont val="Segoe UI"/>
            <family val="2"/>
          </rPr>
          <t>Meta da Programação 2020.</t>
        </r>
      </text>
    </comment>
  </commentList>
</comments>
</file>

<file path=xl/comments10.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11.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12.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13.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14.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15.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16.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17.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18.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19.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2.xml><?xml version="1.0" encoding="utf-8"?>
<comments xmlns="http://schemas.openxmlformats.org/spreadsheetml/2006/main">
  <authors>
    <author>Gustavo Milhomem Brito Menezes</author>
    <author>Flavia Rios Costa</author>
    <author>Tania Mara Chaves Daldegan</author>
  </authors>
  <commentList>
    <comment ref="A7" authorId="0" shapeId="0">
      <text>
        <r>
          <rPr>
            <b/>
            <sz val="12"/>
            <color indexed="81"/>
            <rFont val="Tahoma"/>
            <family val="2"/>
          </rPr>
          <t>Área ou setor responsável pela Atividade ou Projeto</t>
        </r>
        <r>
          <rPr>
            <sz val="9"/>
            <color indexed="81"/>
            <rFont val="Tahoma"/>
            <family val="2"/>
          </rPr>
          <t xml:space="preserve">
</t>
        </r>
      </text>
    </comment>
    <comment ref="B7" authorId="0" shapeId="0">
      <text>
        <r>
          <rPr>
            <b/>
            <sz val="14"/>
            <color indexed="81"/>
            <rFont val="Calibri Light"/>
            <family val="2"/>
            <scheme val="major"/>
          </rPr>
          <t>P= Projeto                                         A= Atividade 
PE= Projeto Específico</t>
        </r>
      </text>
    </comment>
    <comment ref="C7" authorId="1" shapeId="0">
      <text>
        <r>
          <rPr>
            <sz val="18"/>
            <color indexed="81"/>
            <rFont val="Tahoma"/>
            <family val="2"/>
          </rPr>
          <t xml:space="preserve">AT= Projeto ou Atividade Atual ( já existente na Programação 2020)                             
N= Projeto ou Atividade Nova (não existente na Programação 2020)
R= Projeto ou Atividade Reformulada (alterada)
E= Projeto ou Atividade Excluída
C= Projeto concluído
</t>
        </r>
        <r>
          <rPr>
            <sz val="12"/>
            <color indexed="81"/>
            <rFont val="Tahoma"/>
            <family val="2"/>
          </rPr>
          <t xml:space="preserve">
</t>
        </r>
      </text>
    </comment>
    <comment ref="D7" authorId="1" shapeId="0">
      <text>
        <r>
          <rPr>
            <b/>
            <sz val="14"/>
            <color indexed="81"/>
            <rFont val="Segoe UI"/>
            <family val="2"/>
          </rPr>
          <t>Marcar X para as iniciativas que irão utilizar o Fundo de Apoio- Apenas para CAU Básicos.</t>
        </r>
      </text>
    </comment>
    <comment ref="E7" authorId="0" shapeId="0">
      <text>
        <r>
          <rPr>
            <b/>
            <sz val="13"/>
            <color indexed="81"/>
            <rFont val="Tahoma"/>
            <family val="2"/>
          </rPr>
          <t>Nome do Projeto ou Atividade do Plano de Ação .</t>
        </r>
        <r>
          <rPr>
            <sz val="13"/>
            <color indexed="81"/>
            <rFont val="Tahoma"/>
            <family val="2"/>
          </rPr>
          <t xml:space="preserve">
</t>
        </r>
      </text>
    </comment>
    <comment ref="F7" authorId="0" shapeId="0">
      <text>
        <r>
          <rPr>
            <b/>
            <sz val="13"/>
            <color indexed="81"/>
            <rFont val="Tahoma"/>
            <family val="2"/>
          </rPr>
          <t xml:space="preserve">
É a motivação geral e a síntese dos efeitos que se deseja produzir.</t>
        </r>
        <r>
          <rPr>
            <sz val="13"/>
            <color indexed="81"/>
            <rFont val="Tahoma"/>
            <family val="2"/>
          </rPr>
          <t xml:space="preserve">
</t>
        </r>
      </text>
    </comment>
    <comment ref="G7" authorId="0" shapeId="0">
      <text>
        <r>
          <rPr>
            <b/>
            <sz val="13"/>
            <color indexed="81"/>
            <rFont val="Tahoma"/>
            <family val="2"/>
          </rPr>
          <t xml:space="preserve">Selecionar uma das opções nas células abaixo que estão de acordo com os objetivos estratégicos do Mapa Estratégico no âmbito das perspectivas da Sociedade, Processos Internos, Alavancadores e Pessoas e Infraestrutura.
</t>
        </r>
        <r>
          <rPr>
            <sz val="12"/>
            <color indexed="81"/>
            <rFont val="Tahoma"/>
            <family val="2"/>
          </rPr>
          <t xml:space="preserve">
</t>
        </r>
      </text>
    </comment>
    <comment ref="H7" authorId="0" shapeId="0">
      <text>
        <r>
          <rPr>
            <b/>
            <sz val="13"/>
            <color indexed="81"/>
            <rFont val="Tahoma"/>
            <family val="2"/>
          </rPr>
          <t>Ao firmar o compromisso de incluir os ODS à sua estratégia, o CAU abre caminho para melhorar sua atuação e atender aos anseios da sociedade por projetos e serviços alinhados aos princípios da sustentabilidade. Neste contexto, torna-se facultativo o enquadramento dos projetos e atividades nos ODS em 2020</t>
        </r>
      </text>
    </comment>
    <comment ref="I7" authorId="0" shapeId="0">
      <text>
        <r>
          <rPr>
            <b/>
            <sz val="12"/>
            <color indexed="81"/>
            <rFont val="Tahoma"/>
            <family val="2"/>
          </rPr>
          <t xml:space="preserve">São os efeitos que devem ser produzidos com a execução do projeto/atividade, dentro do seu horizonte do tempo. Refletem o objetivo geral do projeto e representam o seu desdobramento em metas mensuráveis. Resultado = Transformação + Indicador + Meta + Prazo, conforme descritivo no Anexo 1.4
</t>
        </r>
        <r>
          <rPr>
            <sz val="12"/>
            <color indexed="81"/>
            <rFont val="Tahoma"/>
            <family val="2"/>
          </rPr>
          <t xml:space="preserve">
</t>
        </r>
      </text>
    </comment>
    <comment ref="J7" authorId="0" shapeId="0">
      <text>
        <r>
          <rPr>
            <b/>
            <sz val="13"/>
            <color indexed="81"/>
            <rFont val="Tahoma"/>
            <family val="2"/>
          </rPr>
          <t xml:space="preserve">Os valores devem ser iguais do Plano de Ação da Programação 2020 aprovado. Caso tenha feito a Reprogramação Extraordinária 2020, considerar os valores aprovados nessa reprogramação. </t>
        </r>
        <r>
          <rPr>
            <b/>
            <sz val="12"/>
            <color indexed="81"/>
            <rFont val="Tahoma"/>
            <family val="2"/>
          </rPr>
          <t xml:space="preserve">
</t>
        </r>
        <r>
          <rPr>
            <sz val="12"/>
            <color indexed="81"/>
            <rFont val="Tahoma"/>
            <family val="2"/>
          </rPr>
          <t xml:space="preserve">
</t>
        </r>
      </text>
    </comment>
    <comment ref="K7" authorId="0" shapeId="0">
      <text>
        <r>
          <rPr>
            <b/>
            <sz val="12"/>
            <color indexed="81"/>
            <rFont val="Tahoma"/>
            <family val="2"/>
          </rPr>
          <t xml:space="preserve">Valores  dos Projetos/Atividades da Reprogramação 2020.
</t>
        </r>
      </text>
    </comment>
    <comment ref="M7" authorId="0" shapeId="0">
      <text>
        <r>
          <rPr>
            <b/>
            <sz val="13"/>
            <color indexed="81"/>
            <rFont val="Tahoma"/>
            <family val="2"/>
          </rPr>
          <t>Valores  dos Projetos/Atividades do Plano de Ação da Reprogramação 2020= Execução+Projetado</t>
        </r>
        <r>
          <rPr>
            <b/>
            <sz val="12"/>
            <color indexed="81"/>
            <rFont val="Tahoma"/>
            <family val="2"/>
          </rPr>
          <t xml:space="preserve">
</t>
        </r>
      </text>
    </comment>
    <comment ref="N7" authorId="1" shapeId="0">
      <text>
        <r>
          <rPr>
            <b/>
            <sz val="15"/>
            <color indexed="81"/>
            <rFont val="Segoe UI"/>
            <family val="2"/>
          </rPr>
          <t xml:space="preserve"> CAU/UF poderá utilizar, para o custeio de despesas correntes, até 70% (setenta por cento) dos saldos do superávit financeiro efetivo, conforme disposto no item 1.1- DPAEBR Nº 004-01/2020.</t>
        </r>
      </text>
    </comment>
    <comment ref="O7" authorId="1" shapeId="0">
      <text>
        <r>
          <rPr>
            <b/>
            <sz val="13"/>
            <color indexed="81"/>
            <rFont val="Tahoma"/>
            <family val="2"/>
          </rPr>
          <t>Para os CAU Básicos : Valores do Fundo de Apoio distribuídos por Projeto/Atividade. Vale a ressalva que a Atividade do CSC deve</t>
        </r>
        <r>
          <rPr>
            <b/>
            <sz val="13"/>
            <color indexed="8"/>
            <rFont val="Tahoma"/>
            <family val="2"/>
          </rPr>
          <t xml:space="preserve"> ser pago com o Fundo de Apoio. Não utilizar em despesa de capital.</t>
        </r>
      </text>
    </comment>
    <comment ref="K8" authorId="2" shapeId="0">
      <text>
        <r>
          <rPr>
            <b/>
            <sz val="15"/>
            <color indexed="81"/>
            <rFont val="Segoe UI"/>
            <family val="2"/>
          </rPr>
          <t xml:space="preserve">O valor do "Executado 2020": retirar do SISCONT. NET, no caminho "Centro de Custos&gt; Relatórios&gt; Demonstrativo de empenhos/pagamentos"; período de  01/01/2020 até 30/06/2020; na coluna "LIQUIDAÇÕES".  </t>
        </r>
        <r>
          <rPr>
            <b/>
            <sz val="20"/>
            <color indexed="81"/>
            <rFont val="Segoe UI"/>
            <family val="2"/>
          </rPr>
          <t xml:space="preserve">
</t>
        </r>
        <r>
          <rPr>
            <sz val="9"/>
            <color indexed="81"/>
            <rFont val="Segoe UI"/>
            <family val="2"/>
          </rPr>
          <t xml:space="preserve">
</t>
        </r>
      </text>
    </comment>
  </commentList>
</comments>
</file>

<file path=xl/comments20.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21.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22.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23.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24.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25.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26.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27.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28.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29.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3.xml><?xml version="1.0" encoding="utf-8"?>
<comments xmlns="http://schemas.openxmlformats.org/spreadsheetml/2006/main">
  <authors>
    <author>Flavia Rios Costa</author>
    <author>Gustavo Milhomem Brito Menezes</author>
    <author>Tania Mara Chaves Daldegan</author>
  </authors>
  <commentList>
    <comment ref="C7" authorId="0" shapeId="0">
      <text>
        <r>
          <rPr>
            <b/>
            <sz val="9"/>
            <color indexed="81"/>
            <rFont val="Segoe UI"/>
            <family val="2"/>
          </rPr>
          <t xml:space="preserve">Os valores devem ser iguais do Plano de Ação da Programação 2020 aprovado. Caso tenha feito a Reprogramação Extraordinária 2020, considerar os valores aprovados nessa reprogramação. 
</t>
        </r>
      </text>
    </comment>
    <comment ref="D8" authorId="1" shapeId="0">
      <text>
        <r>
          <rPr>
            <b/>
            <sz val="9"/>
            <color indexed="81"/>
            <rFont val="Tahoma"/>
            <family val="2"/>
          </rPr>
          <t>O valor das "Receitas realizadas 2020": retirar do SISCONT. NET, no caminho:  "Contabilidade&gt; Relatórios-&gt;Consolidado&gt;comparativo da receita"; período de 01/01/2020 até 22/06/2020; na coluna "Arrec.Período"</t>
        </r>
      </text>
    </comment>
    <comment ref="E8" authorId="1" shapeId="0">
      <text>
        <r>
          <rPr>
            <b/>
            <sz val="9"/>
            <color indexed="81"/>
            <rFont val="Tahoma"/>
            <family val="2"/>
          </rPr>
          <t>De acordo com as ações e metas a serem executados em 2020.</t>
        </r>
      </text>
    </comment>
    <comment ref="F8" authorId="1" shapeId="0">
      <text>
        <r>
          <rPr>
            <b/>
            <sz val="10"/>
            <color indexed="81"/>
            <rFont val="Tahoma"/>
            <family val="2"/>
          </rPr>
          <t>Observar os valores que estão nas Diretrizes da Reprogramação 2020 para Anuidades, RRT, Taxas e Multas</t>
        </r>
        <r>
          <rPr>
            <b/>
            <sz val="9"/>
            <color indexed="81"/>
            <rFont val="Tahoma"/>
            <family val="2"/>
          </rPr>
          <t xml:space="preserve">
</t>
        </r>
        <r>
          <rPr>
            <sz val="9"/>
            <color indexed="81"/>
            <rFont val="Tahoma"/>
            <family val="2"/>
          </rPr>
          <t xml:space="preserve">
</t>
        </r>
      </text>
    </comment>
    <comment ref="A13" authorId="0" shapeId="0">
      <text>
        <r>
          <rPr>
            <b/>
            <sz val="10"/>
            <color indexed="81"/>
            <rFont val="Tahoma"/>
            <family val="2"/>
          </rPr>
          <t>Somar os valores do exercício atual e exercícios anteriores.</t>
        </r>
      </text>
    </comment>
    <comment ref="A16" authorId="0" shapeId="0">
      <text>
        <r>
          <rPr>
            <b/>
            <sz val="10"/>
            <color indexed="81"/>
            <rFont val="Tahoma"/>
            <family val="2"/>
          </rPr>
          <t>Somar os valores do exercício atual e exercícios anteriores.</t>
        </r>
        <r>
          <rPr>
            <sz val="9"/>
            <color indexed="81"/>
            <rFont val="Tahoma"/>
            <family val="2"/>
          </rPr>
          <t xml:space="preserve">
</t>
        </r>
      </text>
    </comment>
    <comment ref="A20" authorId="0" shapeId="0">
      <text>
        <r>
          <rPr>
            <b/>
            <sz val="10"/>
            <color indexed="81"/>
            <rFont val="Tahoma"/>
            <family val="2"/>
          </rPr>
          <t>Considerar taxas e multas todos os valores relacionados com: Taxa Expediente RRT extemporâneo; Taxa Selic; Documento de fiscalização; Multa e mora de anuidades; Certidão de acervo técnico com atestado; Registro de direito autoral; Multa ética; Multa ausência na eleição, conforme informações do Siccau/Siscont.net.</t>
        </r>
        <r>
          <rPr>
            <sz val="9"/>
            <color indexed="81"/>
            <rFont val="Tahoma"/>
            <family val="2"/>
          </rPr>
          <t xml:space="preserve">
</t>
        </r>
      </text>
    </comment>
    <comment ref="A34" authorId="0" shapeId="0">
      <text>
        <r>
          <rPr>
            <b/>
            <sz val="11"/>
            <color indexed="81"/>
            <rFont val="Tahoma"/>
            <family val="2"/>
          </rPr>
          <t>Apenas o Valor do APORTE DO CSC</t>
        </r>
        <r>
          <rPr>
            <sz val="9"/>
            <color indexed="81"/>
            <rFont val="Tahoma"/>
            <family val="2"/>
          </rPr>
          <t xml:space="preserve">
</t>
        </r>
      </text>
    </comment>
    <comment ref="E42" authorId="2" shapeId="0">
      <text>
        <r>
          <rPr>
            <b/>
            <sz val="14"/>
            <color indexed="81"/>
            <rFont val="Segoe UI"/>
            <family val="2"/>
          </rPr>
          <t>Valores conforme o anexo Usos e Fontes do Parecer da Programação 2020</t>
        </r>
        <r>
          <rPr>
            <b/>
            <sz val="9"/>
            <color indexed="81"/>
            <rFont val="Segoe UI"/>
            <family val="2"/>
          </rPr>
          <t xml:space="preserve">
</t>
        </r>
      </text>
    </comment>
    <comment ref="A57" authorId="2" shapeId="0">
      <text>
        <r>
          <rPr>
            <b/>
            <sz val="9"/>
            <color indexed="81"/>
            <rFont val="Segoe UI"/>
            <family val="2"/>
          </rPr>
          <t>Valor deverá ser igual ou menor que a coluna " N" do Quadro Geral.</t>
        </r>
      </text>
    </comment>
  </commentList>
</comments>
</file>

<file path=xl/comments30.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31.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4.xml><?xml version="1.0" encoding="utf-8"?>
<comments xmlns="http://schemas.openxmlformats.org/spreadsheetml/2006/main">
  <authors>
    <author>Gustavo Milhomem Brito Menezes</author>
    <author>Tania Mara Chaves Daldegan</author>
  </authors>
  <commentList>
    <comment ref="B7" authorId="0" shapeId="0">
      <text>
        <r>
          <rPr>
            <b/>
            <sz val="11"/>
            <color indexed="81"/>
            <rFont val="Tahoma"/>
            <family val="2"/>
          </rPr>
          <t>Vinculada as Receitas de Arrecadação do Anexo 1.1 - Usos e Fonte excluídos os valores das anuidades de exercícios anteriores</t>
        </r>
        <r>
          <rPr>
            <sz val="11"/>
            <color indexed="81"/>
            <rFont val="Tahoma"/>
            <family val="2"/>
          </rPr>
          <t xml:space="preserve">
</t>
        </r>
      </text>
    </comment>
    <comment ref="B8" authorId="0" shapeId="0">
      <text>
        <r>
          <rPr>
            <b/>
            <sz val="9"/>
            <color indexed="81"/>
            <rFont val="Tahoma"/>
            <family val="2"/>
          </rPr>
          <t>Apenas para os Cau Básicos. O valor total deve ser igual do que consta nas Diretrizes da Programação 2020.</t>
        </r>
        <r>
          <rPr>
            <sz val="9"/>
            <color indexed="81"/>
            <rFont val="Tahoma"/>
            <family val="2"/>
          </rPr>
          <t xml:space="preserve">
</t>
        </r>
      </text>
    </comment>
    <comment ref="N8" authorId="1" shapeId="0">
      <text>
        <r>
          <rPr>
            <b/>
            <sz val="14"/>
            <color indexed="81"/>
            <rFont val="Tahoma"/>
            <family val="2"/>
          </rPr>
          <t>Detalhar o valor no campo das justificativas</t>
        </r>
        <r>
          <rPr>
            <sz val="9"/>
            <color indexed="81"/>
            <rFont val="Tahoma"/>
            <family val="2"/>
          </rPr>
          <t xml:space="preserve">
</t>
        </r>
      </text>
    </comment>
    <comment ref="B9" authorId="0" shapeId="0">
      <text>
        <r>
          <rPr>
            <b/>
            <sz val="9"/>
            <color indexed="81"/>
            <rFont val="Tahoma"/>
            <family val="2"/>
          </rPr>
          <t>= Receita de Arrecadação + Recurso do Fundo de Apoio</t>
        </r>
        <r>
          <rPr>
            <sz val="9"/>
            <color indexed="81"/>
            <rFont val="Tahoma"/>
            <family val="2"/>
          </rPr>
          <t xml:space="preserve">
</t>
        </r>
      </text>
    </comment>
    <comment ref="B10" authorId="0" shapeId="0">
      <text>
        <r>
          <rPr>
            <b/>
            <sz val="9"/>
            <color indexed="81"/>
            <rFont val="Tahoma"/>
            <family val="2"/>
          </rPr>
          <t>Vinculada as Receitas de Arrecadação do Anexo 1.1 - Usos e Fontes</t>
        </r>
      </text>
    </comment>
    <comment ref="B11" authorId="0" shapeId="0">
      <text>
        <r>
          <rPr>
            <b/>
            <sz val="9"/>
            <color indexed="81"/>
            <rFont val="Tahoma"/>
            <family val="2"/>
          </rPr>
          <t>RAL= Receita de Arrecadação + Fundo de Apoio (apenas CAU Básicos) - Aportes ( CSC + FA)</t>
        </r>
      </text>
    </comment>
    <comment ref="F14" authorId="1" shapeId="0">
      <text>
        <r>
          <rPr>
            <b/>
            <sz val="9"/>
            <color indexed="81"/>
            <rFont val="Segoe UI"/>
            <family val="2"/>
          </rPr>
          <t>É percentual (%)</t>
        </r>
        <r>
          <rPr>
            <sz val="9"/>
            <color indexed="81"/>
            <rFont val="Segoe UI"/>
            <family val="2"/>
          </rPr>
          <t xml:space="preserve">
</t>
        </r>
      </text>
    </comment>
    <comment ref="F15" authorId="1" shapeId="0">
      <text>
        <r>
          <rPr>
            <b/>
            <sz val="9"/>
            <color indexed="81"/>
            <rFont val="Segoe UI"/>
            <family val="2"/>
          </rPr>
          <t>É ponto percentual (pp)</t>
        </r>
        <r>
          <rPr>
            <sz val="9"/>
            <color indexed="81"/>
            <rFont val="Segoe UI"/>
            <family val="2"/>
          </rPr>
          <t xml:space="preserve">
</t>
        </r>
      </text>
    </comment>
    <comment ref="F16" authorId="1" shapeId="0">
      <text>
        <r>
          <rPr>
            <b/>
            <sz val="9"/>
            <color indexed="81"/>
            <rFont val="Segoe UI"/>
            <family val="2"/>
          </rPr>
          <t>É percentual (%)</t>
        </r>
        <r>
          <rPr>
            <sz val="9"/>
            <color indexed="81"/>
            <rFont val="Segoe UI"/>
            <family val="2"/>
          </rPr>
          <t xml:space="preserve">
</t>
        </r>
      </text>
    </comment>
    <comment ref="F17" authorId="1" shapeId="0">
      <text>
        <r>
          <rPr>
            <b/>
            <sz val="9"/>
            <color indexed="81"/>
            <rFont val="Segoe UI"/>
            <family val="2"/>
          </rPr>
          <t>É ponto percentual (pp)</t>
        </r>
        <r>
          <rPr>
            <sz val="9"/>
            <color indexed="81"/>
            <rFont val="Segoe UI"/>
            <family val="2"/>
          </rPr>
          <t xml:space="preserve">
</t>
        </r>
      </text>
    </comment>
    <comment ref="F18" authorId="1" shapeId="0">
      <text>
        <r>
          <rPr>
            <b/>
            <sz val="9"/>
            <color indexed="81"/>
            <rFont val="Segoe UI"/>
            <family val="2"/>
          </rPr>
          <t>É percentual (%)</t>
        </r>
        <r>
          <rPr>
            <sz val="9"/>
            <color indexed="81"/>
            <rFont val="Segoe UI"/>
            <family val="2"/>
          </rPr>
          <t xml:space="preserve">
</t>
        </r>
      </text>
    </comment>
    <comment ref="F19" authorId="1" shapeId="0">
      <text>
        <r>
          <rPr>
            <b/>
            <sz val="9"/>
            <color indexed="81"/>
            <rFont val="Segoe UI"/>
            <family val="2"/>
          </rPr>
          <t>É ponto percentual (pp)</t>
        </r>
        <r>
          <rPr>
            <sz val="9"/>
            <color indexed="81"/>
            <rFont val="Segoe UI"/>
            <family val="2"/>
          </rPr>
          <t xml:space="preserve">
</t>
        </r>
      </text>
    </comment>
    <comment ref="F20" authorId="1" shapeId="0">
      <text>
        <r>
          <rPr>
            <b/>
            <sz val="9"/>
            <color indexed="81"/>
            <rFont val="Segoe UI"/>
            <family val="2"/>
          </rPr>
          <t>É percentual (%)</t>
        </r>
        <r>
          <rPr>
            <sz val="9"/>
            <color indexed="81"/>
            <rFont val="Segoe UI"/>
            <family val="2"/>
          </rPr>
          <t xml:space="preserve">
</t>
        </r>
      </text>
    </comment>
    <comment ref="F21" authorId="1" shapeId="0">
      <text>
        <r>
          <rPr>
            <b/>
            <sz val="9"/>
            <color indexed="81"/>
            <rFont val="Segoe UI"/>
            <family val="2"/>
          </rPr>
          <t>É ponto percentual (pp)</t>
        </r>
        <r>
          <rPr>
            <sz val="9"/>
            <color indexed="81"/>
            <rFont val="Segoe UI"/>
            <family val="2"/>
          </rPr>
          <t xml:space="preserve">
</t>
        </r>
      </text>
    </comment>
    <comment ref="F22" authorId="1" shapeId="0">
      <text>
        <r>
          <rPr>
            <b/>
            <sz val="9"/>
            <color indexed="81"/>
            <rFont val="Segoe UI"/>
            <family val="2"/>
          </rPr>
          <t>É percentual (%)</t>
        </r>
        <r>
          <rPr>
            <sz val="9"/>
            <color indexed="81"/>
            <rFont val="Segoe UI"/>
            <family val="2"/>
          </rPr>
          <t xml:space="preserve">
</t>
        </r>
      </text>
    </comment>
    <comment ref="F23" authorId="1" shapeId="0">
      <text>
        <r>
          <rPr>
            <b/>
            <sz val="9"/>
            <color indexed="81"/>
            <rFont val="Segoe UI"/>
            <family val="2"/>
          </rPr>
          <t>É ponto percentual (pp)</t>
        </r>
        <r>
          <rPr>
            <sz val="9"/>
            <color indexed="81"/>
            <rFont val="Segoe UI"/>
            <family val="2"/>
          </rPr>
          <t xml:space="preserve">
</t>
        </r>
      </text>
    </comment>
    <comment ref="F24" authorId="1" shapeId="0">
      <text>
        <r>
          <rPr>
            <b/>
            <sz val="9"/>
            <color indexed="81"/>
            <rFont val="Segoe UI"/>
            <family val="2"/>
          </rPr>
          <t>É percentual (%)</t>
        </r>
        <r>
          <rPr>
            <sz val="9"/>
            <color indexed="81"/>
            <rFont val="Segoe UI"/>
            <family val="2"/>
          </rPr>
          <t xml:space="preserve">
</t>
        </r>
      </text>
    </comment>
    <comment ref="F25" authorId="1" shapeId="0">
      <text>
        <r>
          <rPr>
            <b/>
            <sz val="9"/>
            <color indexed="81"/>
            <rFont val="Segoe UI"/>
            <family val="2"/>
          </rPr>
          <t>É ponto percentual (pp)</t>
        </r>
        <r>
          <rPr>
            <sz val="9"/>
            <color indexed="81"/>
            <rFont val="Segoe UI"/>
            <family val="2"/>
          </rPr>
          <t xml:space="preserve">
</t>
        </r>
      </text>
    </comment>
    <comment ref="F26" authorId="1" shapeId="0">
      <text>
        <r>
          <rPr>
            <b/>
            <sz val="9"/>
            <color indexed="81"/>
            <rFont val="Segoe UI"/>
            <family val="2"/>
          </rPr>
          <t>É percentual (%)</t>
        </r>
        <r>
          <rPr>
            <sz val="9"/>
            <color indexed="81"/>
            <rFont val="Segoe UI"/>
            <family val="2"/>
          </rPr>
          <t xml:space="preserve">
</t>
        </r>
      </text>
    </comment>
    <comment ref="F27" authorId="1" shapeId="0">
      <text>
        <r>
          <rPr>
            <b/>
            <sz val="9"/>
            <color indexed="81"/>
            <rFont val="Segoe UI"/>
            <family val="2"/>
          </rPr>
          <t>É ponto percentual (pp)</t>
        </r>
        <r>
          <rPr>
            <sz val="9"/>
            <color indexed="81"/>
            <rFont val="Segoe UI"/>
            <family val="2"/>
          </rPr>
          <t xml:space="preserve">
</t>
        </r>
      </text>
    </comment>
  </commentList>
</comments>
</file>

<file path=xl/comments5.xml><?xml version="1.0" encoding="utf-8"?>
<comments xmlns="http://schemas.openxmlformats.org/spreadsheetml/2006/main">
  <authors>
    <author>Tania Mara Chaves Daldegan</author>
  </authors>
  <commentList>
    <comment ref="M9" authorId="0" shapeId="0">
      <text>
        <r>
          <rPr>
            <b/>
            <sz val="9"/>
            <color indexed="81"/>
            <rFont val="Segoe UI"/>
            <family val="2"/>
          </rPr>
          <t>Aporte ao Fundo de apoio
Aporte o CSC
Patrocínio
Convênios</t>
        </r>
      </text>
    </comment>
  </commentList>
</comments>
</file>

<file path=xl/comments6.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7.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8.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comments9.xml><?xml version="1.0" encoding="utf-8"?>
<comments xmlns="http://schemas.openxmlformats.org/spreadsheetml/2006/main">
  <authors>
    <author>Flavia Rios Costa</author>
    <author>Tania Mara Chaves Daldegan</author>
  </authors>
  <commentList>
    <comment ref="A11" authorId="0" shapeId="0">
      <text>
        <r>
          <rPr>
            <sz val="25"/>
            <color indexed="81"/>
            <rFont val="Segoe UI"/>
            <family val="2"/>
          </rPr>
          <t>AT= Ação Atual ( já existente na Programação 2020)                     
N= Ação  Nova (não existente na Programação 2020)
R= Ação Reformulada (alterada)
E= Ação Excluída
C= Ação concluída</t>
        </r>
        <r>
          <rPr>
            <sz val="20"/>
            <color indexed="81"/>
            <rFont val="Segoe UI"/>
            <family val="2"/>
          </rPr>
          <t xml:space="preserve">
</t>
        </r>
      </text>
    </comment>
    <comment ref="H13" authorId="1" shapeId="0">
      <text>
        <r>
          <rPr>
            <b/>
            <sz val="18"/>
            <color indexed="81"/>
            <rFont val="Segoe UI"/>
            <family val="2"/>
          </rPr>
          <t>Valores conforme a execução orçamentária do SISCONT.NET. Favor informar a data do corte no campo das justificativas.</t>
        </r>
        <r>
          <rPr>
            <sz val="18"/>
            <color indexed="81"/>
            <rFont val="Segoe UI"/>
            <family val="2"/>
          </rPr>
          <t xml:space="preserve">
</t>
        </r>
      </text>
    </comment>
  </commentList>
</comments>
</file>

<file path=xl/sharedStrings.xml><?xml version="1.0" encoding="utf-8"?>
<sst xmlns="http://schemas.openxmlformats.org/spreadsheetml/2006/main" count="2764" uniqueCount="709">
  <si>
    <t>Total</t>
  </si>
  <si>
    <t>Responsável pela Execução</t>
  </si>
  <si>
    <t>Pessoal</t>
  </si>
  <si>
    <t>Imobilizado</t>
  </si>
  <si>
    <t>Variação</t>
  </si>
  <si>
    <t>Legenda: Situação da Ação e Metas</t>
  </si>
  <si>
    <t>Nova</t>
  </si>
  <si>
    <t>Excluída</t>
  </si>
  <si>
    <t>Reformulada</t>
  </si>
  <si>
    <t>(1)</t>
  </si>
  <si>
    <t>(2)</t>
  </si>
  <si>
    <t>(3)</t>
  </si>
  <si>
    <t>(4)</t>
  </si>
  <si>
    <t>Inicial</t>
  </si>
  <si>
    <t>Unidade Responsável</t>
  </si>
  <si>
    <t>Denominação</t>
  </si>
  <si>
    <t>TOTAL</t>
  </si>
  <si>
    <t>Especificação</t>
  </si>
  <si>
    <t>I - FONTES</t>
  </si>
  <si>
    <t>1. Receitas Correntes</t>
  </si>
  <si>
    <t>1.1.1 Anuidades</t>
  </si>
  <si>
    <t>1.1.1.1 Pessoa Física</t>
  </si>
  <si>
    <t>1.1.1.2 Pessoa Jurídica</t>
  </si>
  <si>
    <t>1.2 Aplicações Financeiras</t>
  </si>
  <si>
    <t>1.4 Fundo de Apoio</t>
  </si>
  <si>
    <t>2 Receitas de Capital</t>
  </si>
  <si>
    <t>2.1 Saldos de Exercícios Anteriores (Superávit Financeiro)</t>
  </si>
  <si>
    <t xml:space="preserve"> I – TOTAL</t>
  </si>
  <si>
    <t>II. USOS</t>
  </si>
  <si>
    <t>II.1 Programação Operacional</t>
  </si>
  <si>
    <t>Projetos</t>
  </si>
  <si>
    <t>II.2 Aportes ao Fundo de Apoio</t>
  </si>
  <si>
    <t>II – TOTAL</t>
  </si>
  <si>
    <t>VARIAÇÃO (I-II)</t>
  </si>
  <si>
    <t>Valores em R$ 1,00</t>
  </si>
  <si>
    <t xml:space="preserve">Variação                                                      </t>
  </si>
  <si>
    <t>II.4 Reserva de Contingência</t>
  </si>
  <si>
    <t>Impactar significativamente o planejamento e a gestão do território</t>
  </si>
  <si>
    <t>Tornar a fiscalização um vetor de melhoria do exercício da Arquitetura e Urbanismo</t>
  </si>
  <si>
    <t>Assegurar a eficácia no atendimento e no relacionamento com os arquitetos e urbanistas e a sociedade</t>
  </si>
  <si>
    <t>Estimular o conhecimento, o uso de processos criativos e a difusão das melhores práticas em Arquitetura e Urbanismo</t>
  </si>
  <si>
    <t>Garantir a participação dos arquitetos e urbanistas no planejamento territorial e na gestão urbana</t>
  </si>
  <si>
    <t>Estimular a produção da arquitetura e urbanismo como política de Estado</t>
  </si>
  <si>
    <t>Assegurar a eficácia no relacionamento e comunicação com a sociedade</t>
  </si>
  <si>
    <t>Promover o exercício ético e qualificado da profissão</t>
  </si>
  <si>
    <t>Fomentar o acesso da sociedade à Arquitetura e Urbanismo</t>
  </si>
  <si>
    <t>Assegurar a sustentabilidade financeira</t>
  </si>
  <si>
    <t>Aprimorar e inovar os processos e as ações</t>
  </si>
  <si>
    <t>Desenvolver competências de dirigentes e colaboradores</t>
  </si>
  <si>
    <t>Construir cultura organizacional adequada à estratégia</t>
  </si>
  <si>
    <t>Ter sistemas de informação e infraestrutura que viabilizem a gestão e o atendimento dos arquitetos e urbanistas e a sociedade</t>
  </si>
  <si>
    <t>Indicadores Institucionais e de Resultado (agrupados por objetivo estratégico) - Metas</t>
  </si>
  <si>
    <t>Objetivo Estratégico Principal</t>
  </si>
  <si>
    <t>FP</t>
  </si>
  <si>
    <t>Denominação (Projeto/Atividade)</t>
  </si>
  <si>
    <t>Material de Consumo</t>
  </si>
  <si>
    <t>Serviços de Terceiros</t>
  </si>
  <si>
    <t>Encargos Diversos</t>
  </si>
  <si>
    <t>Soma</t>
  </si>
  <si>
    <t>% Part.</t>
  </si>
  <si>
    <t>Diárias</t>
  </si>
  <si>
    <t>Passagens</t>
  </si>
  <si>
    <t>Serviços Prestados</t>
  </si>
  <si>
    <t>TOTAL GERAL</t>
  </si>
  <si>
    <t>BASE DE CÁLCULO</t>
  </si>
  <si>
    <t>APLICAÇÕES DE RECURSOS</t>
  </si>
  <si>
    <t xml:space="preserve">FOLHA DE PAGAMENTO </t>
  </si>
  <si>
    <t>2. Recursos do fundo de apoio (CAU Básico)</t>
  </si>
  <si>
    <t>Valor</t>
  </si>
  <si>
    <t xml:space="preserve">% </t>
  </si>
  <si>
    <t>Variação (%)</t>
  </si>
  <si>
    <t>LIMITES</t>
  </si>
  <si>
    <t xml:space="preserve">Objetivo Geral </t>
  </si>
  <si>
    <t>CAU/UF:</t>
  </si>
  <si>
    <t>1.1.3 Taxas e Multas</t>
  </si>
  <si>
    <t xml:space="preserve">Fórmula </t>
  </si>
  <si>
    <t xml:space="preserve">Periodicidade </t>
  </si>
  <si>
    <t>B- INDICADORES DE RESULTADO</t>
  </si>
  <si>
    <t>A- INDICADORES INSTITUCIONAIS</t>
  </si>
  <si>
    <t xml:space="preserve">II.3 Aporte ao CSC </t>
  </si>
  <si>
    <t>Atividades</t>
  </si>
  <si>
    <t>Orientação: As células em cinza estão vinculadas com fórmulas, não devem ser preenchidas.</t>
  </si>
  <si>
    <t>B. Valor total das rescisões contratuais, auxílio alimentação, auxílio transporte, plano de saúde e demais benefícios.</t>
  </si>
  <si>
    <t>3. Soma (1+2)</t>
  </si>
  <si>
    <t>C. Receitas Correntes</t>
  </si>
  <si>
    <t>4. Aportes ao Fundo de Apoio</t>
  </si>
  <si>
    <t>Pessoal e Encargos</t>
  </si>
  <si>
    <t>A. Pessoal e Encargos (Valores totais)</t>
  </si>
  <si>
    <t>Denominação do Projeto ou Atividade :</t>
  </si>
  <si>
    <t>COMENTÁRIOS/JUSTIFICATIVAS :</t>
  </si>
  <si>
    <t>1. QUADRO GERAL</t>
  </si>
  <si>
    <t>Resultado</t>
  </si>
  <si>
    <t>1.1.3 RRT</t>
  </si>
  <si>
    <t xml:space="preserve">BASE DE CÁLCULO </t>
  </si>
  <si>
    <t xml:space="preserve">Variação </t>
  </si>
  <si>
    <t>Descrição da Ação</t>
  </si>
  <si>
    <t>Custo da Ação (R$)</t>
  </si>
  <si>
    <t>Metas Físicas</t>
  </si>
  <si>
    <t>Obs.: Os Indicadores devem ser vinculados aos objetivos estratégicos priorizados no Mapa Estratégico do CAU/UF, ou seja, os indicadores dos objetivos estratégicos escolhidos no Mapa Estratégico devem ser priorizados.</t>
  </si>
  <si>
    <t xml:space="preserve">CATEGORIA ECONÔMICA </t>
  </si>
  <si>
    <t>Corrente</t>
  </si>
  <si>
    <t xml:space="preserve">Capital </t>
  </si>
  <si>
    <t xml:space="preserve">FONTES </t>
  </si>
  <si>
    <t>USOS</t>
  </si>
  <si>
    <t>Variação % 
(C=B/A)</t>
  </si>
  <si>
    <t>5.  Receita da Arrecadação Líquida (RAL = 3 - 4)</t>
  </si>
  <si>
    <t>Anual</t>
  </si>
  <si>
    <t>Trimestral</t>
  </si>
  <si>
    <r>
      <t xml:space="preserve">Índice de presença profissional </t>
    </r>
    <r>
      <rPr>
        <b/>
        <sz val="20"/>
        <color theme="8" tint="-0.499984740745262"/>
        <rFont val="Calibri"/>
        <family val="2"/>
        <scheme val="minor"/>
      </rPr>
      <t>nas obras</t>
    </r>
    <r>
      <rPr>
        <sz val="20"/>
        <rFont val="Calibri"/>
        <family val="2"/>
        <scheme val="minor"/>
      </rPr>
      <t xml:space="preserve"> e  serviços fiscalizados  (%) - </t>
    </r>
    <r>
      <rPr>
        <b/>
        <sz val="20"/>
        <rFont val="Calibri"/>
        <family val="2"/>
        <scheme val="minor"/>
      </rPr>
      <t>(CAU/UF)</t>
    </r>
  </si>
  <si>
    <t>1.1.1.1.2 Anuidade Exercícios anteriores</t>
  </si>
  <si>
    <t>1.1.1.2.2 Anuidade Exercícios anteriores</t>
  </si>
  <si>
    <t>1) Não alterar cores e formatações no modelo.</t>
  </si>
  <si>
    <t>2) Não alterar fórmula.</t>
  </si>
  <si>
    <t>4) Atentar as orientações em amarelo em cada aba da Planilha .</t>
  </si>
  <si>
    <t>5) No preenchimento das células utilizar letras maiúsculas apenas em siglas e no começo da frase.</t>
  </si>
  <si>
    <t>6) Utilizar mesma fonte de texto em todas células (Optamos pela fonte CALIBRI tamanho 12).</t>
  </si>
  <si>
    <t>OBS: No item da categoria dos "Usos Correntes", deverão ser considerados os valores dos Aportes ao Fundo de Apoio, ao CSC , e à Reserva de Contingência.</t>
  </si>
  <si>
    <r>
      <t xml:space="preserve"> Despesas com Pessoal </t>
    </r>
    <r>
      <rPr>
        <b/>
        <sz val="14"/>
        <color indexed="57"/>
        <rFont val="Calibri"/>
        <family val="2"/>
      </rPr>
      <t>(máximo de 55% sobre as Receitas Correntes. Não considerar o valor total das rescisões contratuais, auxílio alimentação, auxílio transporte, plano de saúde e demais benefícios)</t>
    </r>
  </si>
  <si>
    <r>
      <t xml:space="preserve">Atendimento
</t>
    </r>
    <r>
      <rPr>
        <b/>
        <sz val="14"/>
        <color indexed="21"/>
        <rFont val="Calibri"/>
        <family val="2"/>
      </rPr>
      <t>(mínimo de 10 % do total da RAL)</t>
    </r>
  </si>
  <si>
    <r>
      <t>Capacitação</t>
    </r>
    <r>
      <rPr>
        <b/>
        <sz val="14"/>
        <color indexed="10"/>
        <rFont val="Calibri"/>
        <family val="2"/>
      </rPr>
      <t xml:space="preserve"> </t>
    </r>
    <r>
      <rPr>
        <b/>
        <sz val="14"/>
        <color indexed="57"/>
        <rFont val="Calibri"/>
        <family val="2"/>
      </rPr>
      <t xml:space="preserve">(mínimo de 2%  e máximo de 4%  do valor total das respectivas folhas de pagamento -salários, encargos e benefícios)                  </t>
    </r>
  </si>
  <si>
    <r>
      <t xml:space="preserve">Comunicação
</t>
    </r>
    <r>
      <rPr>
        <b/>
        <sz val="14"/>
        <color indexed="21"/>
        <rFont val="Calibri"/>
        <family val="2"/>
      </rPr>
      <t xml:space="preserve">(mínimo de 3% do total da RAL)             </t>
    </r>
    <r>
      <rPr>
        <b/>
        <sz val="14"/>
        <color indexed="57"/>
        <rFont val="Calibri"/>
        <family val="2"/>
      </rPr>
      <t xml:space="preserve">                                                                                </t>
    </r>
  </si>
  <si>
    <r>
      <t xml:space="preserve">Patrocínio
</t>
    </r>
    <r>
      <rPr>
        <b/>
        <sz val="14"/>
        <color indexed="21"/>
        <rFont val="Calibri"/>
        <family val="2"/>
      </rPr>
      <t xml:space="preserve">(máximo de 5% do total da RAL)   </t>
    </r>
    <r>
      <rPr>
        <b/>
        <sz val="14"/>
        <color indexed="10"/>
        <rFont val="Calibri"/>
        <family val="2"/>
      </rPr>
      <t xml:space="preserve">      </t>
    </r>
    <r>
      <rPr>
        <b/>
        <sz val="14"/>
        <color indexed="8"/>
        <rFont val="Calibri"/>
        <family val="2"/>
      </rPr>
      <t xml:space="preserve">                                                                            </t>
    </r>
  </si>
  <si>
    <r>
      <t xml:space="preserve">Assistência Técnica                            </t>
    </r>
    <r>
      <rPr>
        <b/>
        <sz val="14"/>
        <color rgb="FF008080"/>
        <rFont val="Calibri"/>
        <family val="2"/>
        <scheme val="minor"/>
      </rPr>
      <t xml:space="preserve">(mínimo de 2% do total da RAL) </t>
    </r>
    <r>
      <rPr>
        <b/>
        <sz val="14"/>
        <color theme="1"/>
        <rFont val="Calibri"/>
        <family val="2"/>
        <scheme val="minor"/>
      </rPr>
      <t xml:space="preserve">   </t>
    </r>
  </si>
  <si>
    <r>
      <t xml:space="preserve">Reserva de Contingência                          </t>
    </r>
    <r>
      <rPr>
        <b/>
        <sz val="14"/>
        <color indexed="21"/>
        <rFont val="Calibri"/>
        <family val="2"/>
      </rPr>
      <t xml:space="preserve">(até 2 % do total da RAL)              </t>
    </r>
  </si>
  <si>
    <t>1.1 Receitas de Arrecadação Total</t>
  </si>
  <si>
    <r>
      <t xml:space="preserve">Objetivos Estratégicos Locais             </t>
    </r>
    <r>
      <rPr>
        <b/>
        <sz val="14"/>
        <color indexed="21"/>
        <rFont val="Calibri"/>
        <family val="2"/>
      </rPr>
      <t xml:space="preserve"> </t>
    </r>
    <r>
      <rPr>
        <b/>
        <sz val="14"/>
        <color rgb="FFFF0000"/>
        <rFont val="Calibri"/>
        <family val="2"/>
      </rPr>
      <t xml:space="preserve"> </t>
    </r>
    <r>
      <rPr>
        <b/>
        <sz val="14"/>
        <color rgb="FF008080"/>
        <rFont val="Calibri"/>
        <family val="2"/>
      </rPr>
      <t xml:space="preserve">(mínimo de 6 % do total da RAL) </t>
    </r>
    <r>
      <rPr>
        <b/>
        <sz val="14"/>
        <color indexed="21"/>
        <rFont val="Calibri"/>
        <family val="2"/>
      </rPr>
      <t xml:space="preserve">                        </t>
    </r>
  </si>
  <si>
    <t xml:space="preserve">número de municípios do Estado que possuem instrumentos de planejamento urbano </t>
  </si>
  <si>
    <t>x 100</t>
  </si>
  <si>
    <t>total de municípios do Estado</t>
  </si>
  <si>
    <r>
      <t xml:space="preserve">Índice da capacidade de fiscalização (%) - </t>
    </r>
    <r>
      <rPr>
        <b/>
        <sz val="20"/>
        <rFont val="Calibri"/>
        <family val="2"/>
        <scheme val="minor"/>
      </rPr>
      <t xml:space="preserve">(CAU/UF)   </t>
    </r>
  </si>
  <si>
    <t>quantidade de serviços fiscalizados pelo CAU/UF no Ano</t>
  </si>
  <si>
    <t>número de serviços propostos a serem fiscalizados</t>
  </si>
  <si>
    <t>quantidade de presença profissional com RRT</t>
  </si>
  <si>
    <t>quantidade de serviços fiscalizados pelo CAU/UF</t>
  </si>
  <si>
    <r>
      <t xml:space="preserve">Índice de RRT por mês por profissional ativo  - </t>
    </r>
    <r>
      <rPr>
        <b/>
        <sz val="20"/>
        <rFont val="Calibri"/>
        <family val="2"/>
        <scheme val="minor"/>
      </rPr>
      <t xml:space="preserve">(CAU/UF)    </t>
    </r>
  </si>
  <si>
    <r>
      <t xml:space="preserve">número total de RRT registrados </t>
    </r>
    <r>
      <rPr>
        <b/>
        <sz val="20"/>
        <rFont val="Calibri"/>
        <family val="2"/>
        <scheme val="minor"/>
      </rPr>
      <t xml:space="preserve">por mês </t>
    </r>
  </si>
  <si>
    <t>Mensal</t>
  </si>
  <si>
    <t>número total de profissionais ativos no Estado</t>
  </si>
  <si>
    <r>
      <t>Índice de capacidade de atendimento de denúncias  (%) -</t>
    </r>
    <r>
      <rPr>
        <b/>
        <sz val="20"/>
        <rFont val="Calibri"/>
        <family val="2"/>
        <scheme val="minor"/>
      </rPr>
      <t xml:space="preserve"> (CAU/UF)</t>
    </r>
    <r>
      <rPr>
        <sz val="20"/>
        <rFont val="Calibri"/>
        <family val="2"/>
        <scheme val="minor"/>
      </rPr>
      <t xml:space="preserve">
</t>
    </r>
  </si>
  <si>
    <t>quantidade de denúncias atendidas pelo CAU/UF</t>
  </si>
  <si>
    <t>X 100</t>
  </si>
  <si>
    <t>número de denúncias recebidas pelo CAU/UF</t>
  </si>
  <si>
    <r>
      <t>Índice de orientações gerais  realizadas  (%) -</t>
    </r>
    <r>
      <rPr>
        <b/>
        <sz val="20"/>
        <rFont val="Calibri"/>
        <family val="2"/>
        <scheme val="minor"/>
      </rPr>
      <t xml:space="preserve"> (CAU/UF)</t>
    </r>
    <r>
      <rPr>
        <sz val="20"/>
        <rFont val="Calibri"/>
        <family val="2"/>
        <scheme val="minor"/>
      </rPr>
      <t xml:space="preserve">
</t>
    </r>
  </si>
  <si>
    <t>quantidade de orientações gerais realizadas pelo CAU/UF</t>
  </si>
  <si>
    <t>Semestral</t>
  </si>
  <si>
    <t>número de orientações propostas a serem realizadas</t>
  </si>
  <si>
    <r>
      <t xml:space="preserve">Índice de eficiência na conclusão de processos de fiscalização  (%) - </t>
    </r>
    <r>
      <rPr>
        <b/>
        <sz val="20"/>
        <rFont val="Calibri"/>
        <family val="2"/>
        <scheme val="minor"/>
      </rPr>
      <t>(CAU/UF)</t>
    </r>
  </si>
  <si>
    <t>número de processos de fiscalização concluídos em um ano</t>
  </si>
  <si>
    <r>
      <t xml:space="preserve">Índice de atendimento (%) - </t>
    </r>
    <r>
      <rPr>
        <b/>
        <sz val="20"/>
        <rFont val="Calibri"/>
        <family val="2"/>
        <scheme val="minor"/>
      </rPr>
      <t>(CAU/UF)</t>
    </r>
  </si>
  <si>
    <t>número de solicitações tratadas em até 30 dias</t>
  </si>
  <si>
    <t>número de solicitações</t>
  </si>
  <si>
    <r>
      <t xml:space="preserve">Índice de satisfação com a solução da demanda (%) - </t>
    </r>
    <r>
      <rPr>
        <b/>
        <sz val="20"/>
        <rFont val="Calibri"/>
        <family val="2"/>
        <scheme val="minor"/>
      </rPr>
      <t>(CAU/UF)</t>
    </r>
  </si>
  <si>
    <t>número de usuários satisfeitos com a solução da demanda</t>
  </si>
  <si>
    <t>número de usuários que responderam a pesquisa</t>
  </si>
  <si>
    <t>valor orçamentário destinado a patrocínios</t>
  </si>
  <si>
    <t>orçamento total</t>
  </si>
  <si>
    <r>
      <t xml:space="preserve">Índice da capacidade de execução dos investimentos em patrocínios  (%) - </t>
    </r>
    <r>
      <rPr>
        <b/>
        <sz val="20"/>
        <rFont val="Calibri"/>
        <family val="2"/>
        <scheme val="minor"/>
      </rPr>
      <t xml:space="preserve">(CAU/UF) </t>
    </r>
  </si>
  <si>
    <t>valor orçamentário investido (executado) em patrocínios</t>
  </si>
  <si>
    <t>número de órgãos públicos nos municípios do Estado que atuam em planejamento territorial e gestão urbana que utilizem pelo menos um arquiteto e urbanista (interno ou externo)</t>
  </si>
  <si>
    <t>número de órgãos públicos nos municípios do Estado que atuam em planejamento territorial e gestão urbana</t>
  </si>
  <si>
    <r>
      <t xml:space="preserve">Índice de municípios que possuem um órgão de planejamento urbano (%) - </t>
    </r>
    <r>
      <rPr>
        <b/>
        <sz val="20"/>
        <color theme="1"/>
        <rFont val="Calibri"/>
        <family val="2"/>
        <scheme val="minor"/>
      </rPr>
      <t>(CAU/UF)</t>
    </r>
  </si>
  <si>
    <t>número de municípios no Estado que possuem um órgão de planejamento urbano</t>
  </si>
  <si>
    <t>total de municípios no Estado</t>
  </si>
  <si>
    <t xml:space="preserve">número de municípios no Estado que aplicam a Lei de Assistência Técnica </t>
  </si>
  <si>
    <t>x100</t>
  </si>
  <si>
    <t>total de municípios do Estado (= total da amostragem definida)</t>
  </si>
  <si>
    <r>
      <t xml:space="preserve">Obrigatoriedade de planos urbanísticos para as cidades (%) - </t>
    </r>
    <r>
      <rPr>
        <b/>
        <sz val="20"/>
        <rFont val="Calibri"/>
        <family val="2"/>
        <scheme val="minor"/>
      </rPr>
      <t>(CAU/UF)</t>
    </r>
  </si>
  <si>
    <t>Quantidade de acessos qualificados (visitantes únicos) a página do CAU</t>
  </si>
  <si>
    <t>total de notícias sobre questões de Arquitetura e Urbanismo</t>
  </si>
  <si>
    <t>total de inserções do CAU na mídia</t>
  </si>
  <si>
    <t>número total de escolas do Estado</t>
  </si>
  <si>
    <t>número total de processos éticos</t>
  </si>
  <si>
    <r>
      <t xml:space="preserve">Índice de RRT por população (1.000 habitantes)  </t>
    </r>
    <r>
      <rPr>
        <b/>
        <sz val="20"/>
        <rFont val="Calibri"/>
        <family val="2"/>
        <scheme val="minor"/>
      </rPr>
      <t>- (CAU/UF)</t>
    </r>
  </si>
  <si>
    <r>
      <t xml:space="preserve">Índice de RRT mínimas  - </t>
    </r>
    <r>
      <rPr>
        <b/>
        <sz val="20"/>
        <rFont val="Calibri"/>
        <family val="2"/>
        <scheme val="minor"/>
      </rPr>
      <t>(CAU/UF)</t>
    </r>
  </si>
  <si>
    <r>
      <t xml:space="preserve">Índice de receita por arquiteto e urbanista  - </t>
    </r>
    <r>
      <rPr>
        <b/>
        <sz val="20"/>
        <rFont val="Calibri"/>
        <family val="2"/>
        <scheme val="minor"/>
      </rPr>
      <t xml:space="preserve">(CAU/UF) </t>
    </r>
  </si>
  <si>
    <t>Semestral e anual</t>
  </si>
  <si>
    <t>arquiteto e urbanista ativo no Estado</t>
  </si>
  <si>
    <r>
      <t xml:space="preserve">Relação receita/custo de pessoal (%) - </t>
    </r>
    <r>
      <rPr>
        <b/>
        <sz val="20"/>
        <rFont val="Calibri"/>
        <family val="2"/>
        <scheme val="minor"/>
      </rPr>
      <t>(CAU/UF)</t>
    </r>
  </si>
  <si>
    <t>receita corrente do Estado</t>
  </si>
  <si>
    <t>passivo circulante</t>
  </si>
  <si>
    <r>
      <t xml:space="preserve">Índice de inadimplência pessoa física (%) - </t>
    </r>
    <r>
      <rPr>
        <b/>
        <sz val="20"/>
        <rFont val="Calibri"/>
        <family val="2"/>
        <scheme val="minor"/>
      </rPr>
      <t>(CAU/UF)</t>
    </r>
  </si>
  <si>
    <t>total de profissionais ativos</t>
  </si>
  <si>
    <r>
      <t xml:space="preserve">Índice de inadimplência pessoa jurídica (%) - </t>
    </r>
    <r>
      <rPr>
        <b/>
        <sz val="20"/>
        <rFont val="Calibri"/>
        <family val="2"/>
        <scheme val="minor"/>
      </rPr>
      <t>(CAU/UF)</t>
    </r>
  </si>
  <si>
    <t>total de empresas inadimplentes</t>
  </si>
  <si>
    <t>total de empresas ativas</t>
  </si>
  <si>
    <t>total de processos críticos</t>
  </si>
  <si>
    <t>horas totais de treinamento</t>
  </si>
  <si>
    <t>número total de colaboradores e dirigentes</t>
  </si>
  <si>
    <t xml:space="preserve">Acessos à página do CAU (Qtd.) - (CAU/UF) </t>
  </si>
  <si>
    <t xml:space="preserve">Índice de presença na mídia como um todo (%) - (CAU/UF) </t>
  </si>
  <si>
    <t xml:space="preserve">Índice de inserções positivas na mídia (%) - (CAU/UF) </t>
  </si>
  <si>
    <t xml:space="preserve">Índice de eficiência na conclusão de processos éticos (%) -(CAU/UF) </t>
  </si>
  <si>
    <t xml:space="preserve">Índice de liquidez corrente (CAU/UF) </t>
  </si>
  <si>
    <t xml:space="preserve">Índice de processos aprimorados e/ou inovados (%) -(CAU/UF) </t>
  </si>
  <si>
    <t xml:space="preserve">Média de horas de treinamento por colaboradores e dirigentes (CAU/UF) </t>
  </si>
  <si>
    <t>01 - Erradicação da pobreza</t>
  </si>
  <si>
    <t>05 - Igualdade de gênero</t>
  </si>
  <si>
    <t>08 - Trabalho decente e crescimento econômico</t>
  </si>
  <si>
    <t>10 - Redução das desigualdades</t>
  </si>
  <si>
    <t>11 - Cidades e comunidades sustentáveis</t>
  </si>
  <si>
    <t>14 - Vida na água</t>
  </si>
  <si>
    <t>16 - Paz, justiça e instituições eficazes</t>
  </si>
  <si>
    <t>17 - Parcerias e meios de implementação</t>
  </si>
  <si>
    <t>02 - Fome zero e agricultura sustentável</t>
  </si>
  <si>
    <t>03 - Saúde e bem-estar</t>
  </si>
  <si>
    <t>04 - Educação de qualidade</t>
  </si>
  <si>
    <t>06 - Água limpa e saneamento</t>
  </si>
  <si>
    <t>09 - Inovação infraestrutura</t>
  </si>
  <si>
    <t>12 - Consumo e produção responsáveis</t>
  </si>
  <si>
    <t>13 - Ação contra a mudança global do clima</t>
  </si>
  <si>
    <t>15 - Vida terrestre</t>
  </si>
  <si>
    <t>Programação 2020</t>
  </si>
  <si>
    <t xml:space="preserve">Correntes </t>
  </si>
  <si>
    <t>Capital</t>
  </si>
  <si>
    <t>I - Receitas</t>
  </si>
  <si>
    <t>II - Despesas</t>
  </si>
  <si>
    <r>
      <t>07 - Energia limpa e acessível</t>
    </r>
    <r>
      <rPr>
        <sz val="20"/>
        <color theme="1"/>
        <rFont val="Arial"/>
        <family val="2"/>
      </rPr>
      <t> </t>
    </r>
  </si>
  <si>
    <t>Ações Estratégicas Prioritárias</t>
  </si>
  <si>
    <t>OBJETIVO ESTRATÉGICO</t>
  </si>
  <si>
    <t>CLASSE</t>
  </si>
  <si>
    <t xml:space="preserve"> AÇÃO ESTRATÉGICA PRIORITÁRIA</t>
  </si>
  <si>
    <t>DESCRIÇÃO</t>
  </si>
  <si>
    <t>Assegurar a eficácia no atendimento e no relacionamento com os Arquitetos e Urbanistas e a Sociedade</t>
  </si>
  <si>
    <t>Priorizada</t>
  </si>
  <si>
    <t xml:space="preserve"> Atendimento Eletrônico</t>
  </si>
  <si>
    <t>Uso de aplicativos e ferramentas de comunicação para prestar atendimento mais ágil e eficiente.</t>
  </si>
  <si>
    <t>Auto-Atendimento</t>
  </si>
  <si>
    <t>Realização de ações direcionadoras para e facilitadoras do auto-atendimento (tutoriais, manuais)</t>
  </si>
  <si>
    <t>Qualificação dos Canais de Atendimento</t>
  </si>
  <si>
    <t>Ações para melhorar o nível de qualidade do atendimento, em suas diversas modalidades: Presencial, Telefone, E-Mail e SICCAU e processos (Registro de PF e PJ, Atualização Cadastral, RRT)</t>
  </si>
  <si>
    <t>Ações Locais em Mídia</t>
  </si>
  <si>
    <t>Ações de comunicação realizadas a partir de inserções em mídias impressas (anúncios, editoriais, etc.) e redes sociais (facebook, instagram, etc.)., tratanto de temas relevantes para a realidade de cada UF.</t>
  </si>
  <si>
    <t>Ações Nacionais em Mídia</t>
  </si>
  <si>
    <t>Realização de Campanhas nacionais de comunicação (levando em conta eventuais diferenças regionais) em temas prioritários do CAU: ATHIS, Licitações, Ensino, Valorização da Profissão.</t>
  </si>
  <si>
    <t>Atualização do Portal da Transparência</t>
  </si>
  <si>
    <t>Ações para garantir que as informações constantes no Portal da Transparência estejam devidamente atualizadas.</t>
  </si>
  <si>
    <t>Estimular a produção da Arquitetura e Urbanismo como política de Estado</t>
  </si>
  <si>
    <t>Representação em Instâncias Públicas</t>
  </si>
  <si>
    <t>Ampliação da representação de Arquitetos e Urbanistas em Conselhos Públicos, tanto em nível estadual quanto municipal, para participar e conduzir as discussões.</t>
  </si>
  <si>
    <t>Câmaras Temáticas</t>
  </si>
  <si>
    <t>Estabelecimento e consolidação de câmaras temáticas para discussão e deliberação sobre temas prioritários do CAU: Acessibilidade, Patrimônio Histórico, Estudos Urbanos, etc.)</t>
  </si>
  <si>
    <t>Editais de Patrocínio</t>
  </si>
  <si>
    <t>Aplicação de recursos para viabilizar a realização de Seminários, Mostras de Arquitetura, Cursos, Oficinas, etc., a serem firmados tanto com Entidades de Arquitetos como com Entidades Mistas.</t>
  </si>
  <si>
    <t>Capacitação em ATHIS</t>
  </si>
  <si>
    <t>Fomento das ações de capacitação em ATHIS.</t>
  </si>
  <si>
    <t>Cooperação Técnica para ATHIS</t>
  </si>
  <si>
    <t>Realização de Ações e Formalização de Acordos e Convênios de Cooperação Técnica com Entes Públicos, de acordo com a realidade de cada UF.</t>
  </si>
  <si>
    <t>Influenciar as diretrizes do ensino de Arquitetura e Urbanismo e sua formação continuada</t>
  </si>
  <si>
    <t>Ações de Melhoria da Qualidade do Ensino</t>
  </si>
  <si>
    <t>Promoção e Participação em Eventos (Seminários, Cursos, Oficinas, Palestras, Aulas Magnas, etc.) realizados por ou em conjunto com IES, bem como realização de Campanhas pela Qualidade do Ensino</t>
  </si>
  <si>
    <t>CAU nas Escolas</t>
  </si>
  <si>
    <t>Realização de ações de divulgação da Arquitetura e Urbanismo nas escolhas de ensino básico e médio.</t>
  </si>
  <si>
    <t>Audiências de Conciliação</t>
  </si>
  <si>
    <t>Realização de Audiências de Conciliação em Processos Éticos.</t>
  </si>
  <si>
    <t>Melhoria de Processo Ético</t>
  </si>
  <si>
    <t>Realizar ações de melhoria no Processo Ético (Informatização, Redesenho de Processo), incluindo os processos de apuração de denúncia.</t>
  </si>
  <si>
    <t>Palestras e campanhas sobre Aspectos Éticos</t>
  </si>
  <si>
    <t>Realização de abordando definidos e partir do estudo das condutas de maior incidência em processos éticos.</t>
  </si>
  <si>
    <t>Cooperação Técnica para Fiscalização</t>
  </si>
  <si>
    <t>Formalização de Acordos e Convênios de Cooperação Técnica com Instituições, de acordo com a realidade de cada UF.</t>
  </si>
  <si>
    <t>Plataforma de Georreferenciamento</t>
  </si>
  <si>
    <t>Concepção e Implantação de processos de trabalho que faça uso de plataforma de georreferenciamento integrado (IGEO e outras tecnologias)</t>
  </si>
  <si>
    <t>Fiscalização Orientativa</t>
  </si>
  <si>
    <t>Realização de Campanhas de Orientação, com produção de material adequado aos diversos públicos envolvidos.</t>
  </si>
  <si>
    <t>Fiscalização em Obras</t>
  </si>
  <si>
    <t>Ações de fiscalização direta em obras.</t>
  </si>
  <si>
    <t>Serviços de Terceiros- Diárias</t>
  </si>
  <si>
    <t>Serviços de Terceiros- Passagens</t>
  </si>
  <si>
    <t>Serviços de Terceiros- Serviços Prestados</t>
  </si>
  <si>
    <t>Serviços de Terceiros- Aluguéis e Encargos</t>
  </si>
  <si>
    <t>Transferências Correntes</t>
  </si>
  <si>
    <t>NOVOS OBJETIVOS NACIONAIS - DIRETRIZES 2020</t>
  </si>
  <si>
    <t xml:space="preserve">Objetivos de Desenvolvimento Sustentável </t>
  </si>
  <si>
    <t>1. Receita de Arrecadação do Exercício</t>
  </si>
  <si>
    <r>
      <t xml:space="preserve">Fiscalização
</t>
    </r>
    <r>
      <rPr>
        <b/>
        <sz val="14"/>
        <color rgb="FF009999"/>
        <rFont val="Calibri"/>
        <family val="2"/>
      </rPr>
      <t xml:space="preserve">(mínimo de 15 % do total da RAL)    </t>
    </r>
    <r>
      <rPr>
        <b/>
        <sz val="14"/>
        <color indexed="8"/>
        <rFont val="Calibri"/>
        <family val="2"/>
      </rPr>
      <t xml:space="preserve">                                                                     </t>
    </r>
  </si>
  <si>
    <t>1.1.1.1.1 Anuidade do Exercício</t>
  </si>
  <si>
    <t>1.1.1.2.1 Anuidade do Exercício</t>
  </si>
  <si>
    <t>2.2 Outras Receitas de Capital</t>
  </si>
  <si>
    <t>1.3 Outras Receitas Correntes</t>
  </si>
  <si>
    <t xml:space="preserve">EXEMPLO </t>
  </si>
  <si>
    <t>Objetivos de Desenvolvimento Sustentável (Facultativo)</t>
  </si>
  <si>
    <t>Não se aplica</t>
  </si>
  <si>
    <t>Atendimento Eletrônico</t>
  </si>
  <si>
    <r>
      <t xml:space="preserve">OBS: A opção </t>
    </r>
    <r>
      <rPr>
        <b/>
        <sz val="11"/>
        <color theme="1"/>
        <rFont val="Calibri"/>
        <family val="2"/>
        <scheme val="minor"/>
      </rPr>
      <t>"Não se aplica</t>
    </r>
    <r>
      <rPr>
        <sz val="11"/>
        <color theme="1"/>
        <rFont val="Calibri"/>
        <family val="2"/>
        <scheme val="minor"/>
      </rPr>
      <t>" deve ser utilizada quando a ação  descrita não faz parte do rol das "</t>
    </r>
    <r>
      <rPr>
        <b/>
        <sz val="11"/>
        <color theme="1"/>
        <rFont val="Calibri"/>
        <family val="2"/>
        <scheme val="minor"/>
      </rPr>
      <t>Ações Estratégicas Prioritárias</t>
    </r>
    <r>
      <rPr>
        <sz val="11"/>
        <color theme="1"/>
        <rFont val="Calibri"/>
        <family val="2"/>
        <scheme val="minor"/>
      </rPr>
      <t>".</t>
    </r>
  </si>
  <si>
    <r>
      <t>Número de Atendimentos/ano oriundos dos profissionais da arquitetura e urbanismo e da sociedade</t>
    </r>
    <r>
      <rPr>
        <b/>
        <sz val="20"/>
        <color theme="1"/>
        <rFont val="Calibri"/>
        <family val="2"/>
        <scheme val="minor"/>
      </rPr>
      <t xml:space="preserve"> , sendo XX via telefone; XX via presencial; XX GAD; XX via WhatsApp, etc... (valor previsto)</t>
    </r>
  </si>
  <si>
    <t>Valorizar a Arquitetura e Urbanismo</t>
  </si>
  <si>
    <t>Garantir a participação dos Arquitetos e Urbanistas no planejamento territorial e na gestão urbana</t>
  </si>
  <si>
    <r>
      <t xml:space="preserve">Aumento dos índices de satisfação e melhoria dos processos de atendimentos aos profissionais de arquitetura e urbanismo e a sociedade em até 30 dias (Indicador - </t>
    </r>
    <r>
      <rPr>
        <b/>
        <sz val="20"/>
        <color theme="1"/>
        <rFont val="Calibri"/>
        <family val="2"/>
        <scheme val="minor"/>
      </rPr>
      <t>número de solicitações tratadas em até 30 dias</t>
    </r>
    <r>
      <rPr>
        <sz val="20"/>
        <color theme="1"/>
        <rFont val="Calibri"/>
        <family val="2"/>
        <scheme val="minor"/>
      </rPr>
      <t>)</t>
    </r>
  </si>
  <si>
    <t>Descrições das Ações</t>
  </si>
  <si>
    <t>Meta da Ação  (Quant.)</t>
  </si>
  <si>
    <t xml:space="preserve">Reserva de Contingência </t>
  </si>
  <si>
    <r>
      <t>Os itens de custo devem ser:
•</t>
    </r>
    <r>
      <rPr>
        <b/>
        <sz val="10"/>
        <color theme="1"/>
        <rFont val="Arial"/>
        <family val="2"/>
      </rPr>
      <t xml:space="preserve"> Pessoal (Salários, Encargos e Benefícios) </t>
    </r>
    <r>
      <rPr>
        <sz val="10"/>
        <color theme="1"/>
        <rFont val="Arial"/>
        <family val="2"/>
      </rPr>
      <t xml:space="preserve">
a) Pessoal e Encargos:  compreende salários; gratificações; 13º salário; férias; 1/3 férias, abono e horas extras; INSS; FGTS e PIS; vale transporte, auxílio alimentação, plano de saúde e outros benefícios.
b) Diárias – compreende diárias de funcionários com vínculo empregatício com o Conselho.
</t>
    </r>
    <r>
      <rPr>
        <b/>
        <sz val="10"/>
        <color theme="1"/>
        <rFont val="Arial"/>
        <family val="2"/>
      </rPr>
      <t>• Material de Consumo</t>
    </r>
    <r>
      <rPr>
        <sz val="10"/>
        <color theme="1"/>
        <rFont val="Arial"/>
        <family val="2"/>
      </rPr>
      <t xml:space="preserve"> – compreende material de expediente; informática; e outros materiais de consumo que não sejam classificados como material permanente. 
</t>
    </r>
    <r>
      <rPr>
        <b/>
        <sz val="10"/>
        <color theme="1"/>
        <rFont val="Arial"/>
        <family val="2"/>
      </rPr>
      <t xml:space="preserve">• Serviços de Terceiros: </t>
    </r>
    <r>
      <rPr>
        <sz val="10"/>
        <color theme="1"/>
        <rFont val="Arial"/>
        <family val="2"/>
      </rPr>
      <t xml:space="preserve">
a) Diárias – compreende diárias do presidente, de conselheiros e de convidados.
b) Passagens – compreende passagens de funcionários, presidente, conselheiros, e convidados.
c) Serviços Prestados (PF e PJ) – compreende todo serviço prestado por pessoa jurídica como: consultorias; serviços de comunicação e divulgação; manutenção de sistemas informatizados; locação de bens móveis e imóveis, condomínios, reparos e conservação de bens móveis e imóveis; serviços de água e energia elétrica; correios; telecomunicações e outras despesas correntes não classificáveis nos itens anteriores e  remunerações de serviços prestados por pessoa física; remuneração de estagiários, e remuneração de menores aprendizes.
</t>
    </r>
    <r>
      <rPr>
        <b/>
        <sz val="10"/>
        <color theme="1"/>
        <rFont val="Arial"/>
        <family val="2"/>
      </rPr>
      <t>.Transferências Correntes</t>
    </r>
    <r>
      <rPr>
        <sz val="10"/>
        <color theme="1"/>
        <rFont val="Arial"/>
        <family val="2"/>
      </rPr>
      <t xml:space="preserve">: compreende os repasses ao Fundo de Apoio; os repasses ao Centro de Serviço Compartilhado- CSC; convênios, acordos, ajuda as entidades e patrocínios.
</t>
    </r>
    <r>
      <rPr>
        <b/>
        <sz val="10"/>
        <color theme="1"/>
        <rFont val="Arial"/>
        <family val="2"/>
      </rPr>
      <t xml:space="preserve">. Reserva de Contingência: </t>
    </r>
    <r>
      <rPr>
        <sz val="10"/>
        <color theme="1"/>
        <rFont val="Arial"/>
        <family val="2"/>
      </rPr>
      <t xml:space="preserve">compreende as despesas não previstas no plano de ação.
</t>
    </r>
    <r>
      <rPr>
        <b/>
        <sz val="10"/>
        <color theme="1"/>
        <rFont val="Arial"/>
        <family val="2"/>
      </rPr>
      <t>. Encargos Diversos –</t>
    </r>
    <r>
      <rPr>
        <sz val="10"/>
        <color theme="1"/>
        <rFont val="Arial"/>
        <family val="2"/>
      </rPr>
      <t xml:space="preserve"> compreende as taxas bancárias; impostos e taxas diversas; despesas judiciais; e outros encargos.
</t>
    </r>
    <r>
      <rPr>
        <b/>
        <sz val="10"/>
        <color theme="1"/>
        <rFont val="Arial"/>
        <family val="2"/>
      </rPr>
      <t xml:space="preserve">. Imobilizado </t>
    </r>
    <r>
      <rPr>
        <sz val="10"/>
        <color theme="1"/>
        <rFont val="Arial"/>
        <family val="2"/>
      </rPr>
      <t xml:space="preserve">– compreende os investimentos como: aquisição de equipamentos e materiais permanentes; aquisição de imóveis; e outros investimentos.
</t>
    </r>
  </si>
  <si>
    <t>Comentários/Justificativas:</t>
  </si>
  <si>
    <t xml:space="preserve">Tipo (Projeto, Atividade, Projeto Específico): </t>
  </si>
  <si>
    <t>P/A/ PE</t>
  </si>
  <si>
    <t>P /A/ PE</t>
  </si>
  <si>
    <t>LEGENDA: P = PROJETO/ A = ATIVIDADE/ PE: PROJETO ESPECÍFICO / FP = FUNDO DE APOIO</t>
  </si>
  <si>
    <t>Orientações para o Quadro Descritivo:</t>
  </si>
  <si>
    <t>PROJETO ESPECÍFICO</t>
  </si>
  <si>
    <t>Meta 2020 reprogramado</t>
  </si>
  <si>
    <t>Programação 2020 
(A)</t>
  </si>
  <si>
    <t>AT/N/R/E/C/PE</t>
  </si>
  <si>
    <t>FA</t>
  </si>
  <si>
    <t>Reprogramação 2020
 (D)</t>
  </si>
  <si>
    <t>Reprogramação 2020</t>
  </si>
  <si>
    <t>Proposta Reprogramação (D=B+C)</t>
  </si>
  <si>
    <t xml:space="preserve">Part. % (G)           </t>
  </si>
  <si>
    <t>Valores
 (E=D-A)</t>
  </si>
  <si>
    <t>%       
 (F=E/A)</t>
  </si>
  <si>
    <t>AT/N/R/E/C</t>
  </si>
  <si>
    <t>Programação 2020
(A)</t>
  </si>
  <si>
    <t>Proposta de Reprogramação (D=B+C)</t>
  </si>
  <si>
    <t>Valores
(E=D-A)</t>
  </si>
  <si>
    <t>%
(F=E/A)</t>
  </si>
  <si>
    <t>Meta 2020</t>
  </si>
  <si>
    <t>Orientações para preenchimento do Modelo do Plano de Ação - Reprogramação 2020</t>
  </si>
  <si>
    <t>7) O valor da Programação 2020 deve ser igual ao valor APROVADO no Plano de Ação 2020 , ou seja, sem transposição.</t>
  </si>
  <si>
    <t>Meta 2020 Reprogramado</t>
  </si>
  <si>
    <r>
      <t xml:space="preserve">Índice de escolas que possuem disciplinas com conteúdo sobre a ética profissional (%) - </t>
    </r>
    <r>
      <rPr>
        <b/>
        <sz val="20"/>
        <rFont val="Calibri"/>
        <family val="2"/>
        <charset val="1"/>
      </rPr>
      <t>(CAU/UF)</t>
    </r>
  </si>
  <si>
    <t>população do Estado (1000 habitantes)</t>
  </si>
  <si>
    <t>número total de RRT do Estado</t>
  </si>
  <si>
    <t>RRT mínima</t>
  </si>
  <si>
    <t>total de RRT no Estado</t>
  </si>
  <si>
    <r>
      <t xml:space="preserve">Índice da intenção (plano) de investimento em patrocínios (%) - </t>
    </r>
    <r>
      <rPr>
        <b/>
        <sz val="20"/>
        <rFont val="Calibri"/>
        <family val="2"/>
        <scheme val="minor"/>
      </rPr>
      <t>(CAU/UF)</t>
    </r>
  </si>
  <si>
    <t>número de processos críticos aprimorados e/ou inovados</t>
  </si>
  <si>
    <t>custo de pessoal do Estado</t>
  </si>
  <si>
    <t>ativo circulante</t>
  </si>
  <si>
    <t>total de profissionais inadimplentes</t>
  </si>
  <si>
    <t>número de escolas do Estado com a disciplina de ética profissional na grade curricular</t>
  </si>
  <si>
    <t>número de processos éticos concluídos em um ano</t>
  </si>
  <si>
    <t>número de inserções na mídia em geral onde o CAU foi citado</t>
  </si>
  <si>
    <t>número de inserções positivas do CAU na mídia</t>
  </si>
  <si>
    <t>número de planos diretores que contemplam planos urbanísticos nos municípios do Estado</t>
  </si>
  <si>
    <r>
      <t xml:space="preserve">Índice de presença profissional em órgãos de planejamento e gestão urbana (%) -  </t>
    </r>
    <r>
      <rPr>
        <b/>
        <sz val="20"/>
        <color theme="1"/>
        <rFont val="Calibri"/>
        <family val="2"/>
        <scheme val="minor"/>
      </rPr>
      <t>(CAU/UF)</t>
    </r>
  </si>
  <si>
    <r>
      <t xml:space="preserve">Índice de municípios que possuem Plano Diretor, em conformidade com os critérios da legislação </t>
    </r>
    <r>
      <rPr>
        <b/>
        <sz val="20"/>
        <rFont val="Calibri"/>
        <family val="2"/>
        <scheme val="minor"/>
      </rPr>
      <t>(CAU/UF)</t>
    </r>
  </si>
  <si>
    <t xml:space="preserve">Variação (2020/2020) </t>
  </si>
  <si>
    <t>Programação
 2020</t>
  </si>
  <si>
    <t>Reprogramação
 2020</t>
  </si>
  <si>
    <t>Programação 
2020</t>
  </si>
  <si>
    <t>Reprogramação 
2020</t>
  </si>
  <si>
    <t>Variação
(%)</t>
  </si>
  <si>
    <t>Reprogramação 
2020 
(E)</t>
  </si>
  <si>
    <t>Programação 
2020 
(D)</t>
  </si>
  <si>
    <t>Programação 
2020 
(A)</t>
  </si>
  <si>
    <t>Reprogramação 
2020 
(B)</t>
  </si>
  <si>
    <t>Programação 2020
 (A)</t>
  </si>
  <si>
    <t>Execução Jan/Junho
 (B)</t>
  </si>
  <si>
    <t>Projetado Julho/Dez
 (C )</t>
  </si>
  <si>
    <t>RESUMO DA REPROGRAMAÇÃO  ORDINÁRIA 2020 - POR CATEGORIA ECONÔMICA</t>
  </si>
  <si>
    <t>PLANO DE AÇÃO - REPROGRAMAÇÃO  2020</t>
  </si>
  <si>
    <r>
      <t xml:space="preserve">Orientação:  Na proposta da Reprogramação 2020, para as receitas de Arrecadação - anuidades, RRT, taxas e multas, devem ser considerados os valores constantes das </t>
    </r>
    <r>
      <rPr>
        <b/>
        <u/>
        <sz val="13"/>
        <rFont val="Calibri"/>
        <family val="2"/>
        <scheme val="minor"/>
      </rPr>
      <t>Diretrizes da Reprogramação 2020.</t>
    </r>
    <r>
      <rPr>
        <b/>
        <sz val="13"/>
        <rFont val="Calibri"/>
        <family val="2"/>
        <scheme val="minor"/>
      </rPr>
      <t xml:space="preserve"> As receitas de exercícios anteriores devem ser projetadas por cada CAU/UF.  As células sinalizadas, em cinza, são fórmulas e não devem ser modificadas. 
Verificar os comentários colocando o cursor na célula correspondente, no cabeçalho.</t>
    </r>
  </si>
  <si>
    <t xml:space="preserve">8)O valor do "Executado 2020": retirar do SISCONT. NET, no caminho "Centro de Custos&gt; Relatórios&gt; Demonstrativo de empenhos/pagamentos"; período de  01/01/2020 até 30/06/2020; na coluna "LIQUIDAÇÕES". </t>
  </si>
  <si>
    <t>Projetos Específicos</t>
  </si>
  <si>
    <t>Anexo 1 - Demonstrativo de Usos e Fontes - Reprogramação 2020</t>
  </si>
  <si>
    <t>Anexo 2 - Limites de Aplicação dos Recursos Estratégicos - Reprogramação Ordinária de 2020</t>
  </si>
  <si>
    <t>Reprogramação ordinária 2020</t>
  </si>
  <si>
    <t>A custear com Recursos do Fundo de Apoio (R$) 
(H)</t>
  </si>
  <si>
    <t>% Utilização do Fundo de Apoio (I=H/D)</t>
  </si>
  <si>
    <t xml:space="preserve">Superávit Financeiro Efetivo </t>
  </si>
  <si>
    <t>I - Superávit financeiro  em 31.12.2019</t>
  </si>
  <si>
    <t>II - Despesas de capital</t>
  </si>
  <si>
    <t>III - Projetos específicos</t>
  </si>
  <si>
    <t>A. Saldo IV = (I-II-III)</t>
  </si>
  <si>
    <t>B. Superávit Financeiro Efetivo (VII= iV*70%)</t>
  </si>
  <si>
    <t xml:space="preserve">A custear com Recursos do Superávit Financeiro (R$)
 (E) </t>
  </si>
  <si>
    <t>Fundo de Apoio 
 (F)</t>
  </si>
  <si>
    <t>% Utilização do Fundo de Apoio
(G=F/D)</t>
  </si>
  <si>
    <t xml:space="preserve"> Valor(R$)
(H=D-A)</t>
  </si>
  <si>
    <t>% 
(I= H/A *100)</t>
  </si>
  <si>
    <t>2. COMENTÁRIOS/JUSTIFICATIVAS:</t>
  </si>
  <si>
    <t>A custear com Recursos do Superávit Financeiro (R$)
(G)</t>
  </si>
  <si>
    <t xml:space="preserve">Não </t>
  </si>
  <si>
    <t xml:space="preserve">Resultados
 Esperados </t>
  </si>
  <si>
    <t>Execução 
01 Jan a 30 Jun (B)</t>
  </si>
  <si>
    <t>Projetado 
01 Jul a 31 Dez (C )</t>
  </si>
  <si>
    <t xml:space="preserve">Deliberações importantes </t>
  </si>
  <si>
    <t xml:space="preserve">DELIBERAÇÃO PLENÁRIA DPAEBR Nº 004-01/2020 (anexo “Simulação Orçamentária CAU 2020 - Versão 15.06.2020”);
</t>
  </si>
  <si>
    <t>Redução do Fundo de apoio e CSC para os CAU/UF- DPOBR Nº 0102-10/2020</t>
  </si>
  <si>
    <t>Variação % 
(F=E/D)</t>
  </si>
  <si>
    <t>Anexo 3- Aplicações por Projeto/Atividade - por Elemento de Despesa (Consolidado) - Reprogramação Ordinária 2020</t>
  </si>
  <si>
    <t>Anexo 4 - Quadro Descritivo de Ações e Metas do Plano de Ação - Reprogramação Ordinária 2020</t>
  </si>
  <si>
    <t xml:space="preserve"> </t>
  </si>
  <si>
    <t>Obs:  O anexo 4 deve ser preenchido para todos os projetos/atividades de 2020  novos e/ou que tiveram alterações/ajustes, apresentando as ações, quantificações, descrições das metas e os resultados por ação.
As informações devem ser transcritas para Quadro Geral. As células sinalizadas, em cinza, são fórmulas e não devem ser modificadas.</t>
  </si>
  <si>
    <t xml:space="preserve">Fundo de Apoio </t>
  </si>
  <si>
    <t>10) Preencher o anexo 4  apenas para os projetos/atividades novos e/ou que tiveram alterações/ajustes .</t>
  </si>
  <si>
    <t>Projetos Específicos- DPOBR Nº 0097-08.A/2019</t>
  </si>
  <si>
    <t>Projetos Específicos- DPOBR Nº 0084-03/2018</t>
  </si>
  <si>
    <r>
      <t xml:space="preserve">1. Denominação do Projeto ou Atividade : Nome da iniciativa estratégica de acordo com o Quadro Geral.
2.Tipo (Projeto / Atividade/ Projeto Específico):
• Projeto (P): nome do Projeto. O Projeto compreende um conjunto de ações inter-relacionadas, coordenadas e orientadas para o alcance de resultados, com prazo e recursos definidos.
• Projeto Específico(PE): projeto planejado para incorporação dos recursos oriundos de Saldos de Exercícios Anteriores, de acordo com as deliberações plenária nº 84-03/2019, DPOBR Nº 0097-08.A/2019, DPAEBR Nº 004-01/2020.
• Atividade (A): nome da Atividade. A Atividade compreende um conjunto de ações permanentes e rotineiras relacionadas à gestão do CAU/BR, que contribuem para a melhoria do desempenho da Entidade.
3. AT/N/R/E/C: Selecionar se a ação é Atual (AT), Nova (N), Reformulado(R), Excluída(E), Concluída(C).
4. Metas Físicas: bem ou serviço qualificado e quantificado resultante da execução da ação. Para efeito de padronização, as metas são organizadas em dois conjuntos
a) Quantificação da meta: consiste no quantitativo da ação. 
b) Descrição da meta:i. Metas de atendimento - consiste na intenção, expressa numericamente, de cada ação quanto a pessoas (físicas ou jurídicas) a serem beneficiadas pelo projeto. Exemplo: número de pessoas capacitadas. ii. Metas de entrega - consistem na intenção, expressa numericamente, de cada ação quanto a bens, serviços ou processos realizados para contribuir com o alcance dos resultados previstos no projeto. Exemplo: equipamentos adquiridos.
• Ações: ações são iniciativas especificas que devem ser executadas dentro de um projeto ou de uma atividade para produzir os resultados estabelecidos. A ação deve transmitir com clareza a sua finalidade, conteúdo e forma de implementação (o que vai ser feito, por que será feito, onde será feito, quando será feito, como vai ser feito e com que finalidade, por quem será feito e quanto vai custar). Exemplo: Realização de cursos de capacitação no SICCAU. 
5- Ações Estratégicas Prioritárias: selecionar as ações que melhor se enquadram com o objetivo geral.  A opção "Não se aplica" deve ser utilizada quando a ação descrita não faz parte do rol das "Ações Estratégicas Prioritárias". </t>
    </r>
    <r>
      <rPr>
        <b/>
        <u/>
        <sz val="20"/>
        <rFont val="Calibri"/>
        <family val="2"/>
        <scheme val="minor"/>
      </rPr>
      <t>As ações selecionadas devem respeitar as  correlações com os objetivos estratégicos, conforme detalhamento na aba" Ações Estratégicas-Descrição".</t>
    </r>
    <r>
      <rPr>
        <b/>
        <sz val="20"/>
        <rFont val="Calibri"/>
        <family val="2"/>
        <scheme val="minor"/>
      </rPr>
      <t xml:space="preserve">
6.Resultados esperados: os resultados são os efeitos que devem ser produzidos com a execução da ação, dentro do seu horizonte do tempo. 
7. Programação 2020: Considerar os valores aprovados na Programação aprovada ou na Reprogramação Extraordinária 2020, caso tenha ocorrido.
8. Execução: Valores executados no período de Janeiro a 30 de Junho retirados do Siscont.
9. Projeção: Valores projetados no período de Julho a 31 de Dezembro.
10. Reprogramação 2020: Execução + Projeção 
11. A custear com Recursos do Superávit Financeiro (R$): O  superávit financeiro efetivo de exercícios anteriores  poderá ser utilizado para o  custeio de despesas correntes ou de capital. A opção "não se aplica" deverá ser selecionada quando a ação não for custeada pelo superávit (DELIBERAÇÃO PLENÁRIA DPAEBR Nº 004-01/2020).
12. FP: fundo de apoio. Informar se o projeto ou atividade será financiada por recursos oriundos do fundo de apoio dos CAU/UF, apenas para os CAU/Básicos. Atenção: Cabe salientar que os CAU Básico, na elaboração de sua reprogramação para 2020, deverão observar com maior rigor todos os procedimentos e estratégias estabelecidas nas presentes Diretrizes e na Resolução nº 119, valendo ressaltar “Art. 6° Os recursos provenientes do Fundo de Apoio deverão ser utilizados em estrita conformidade com o Plano de Ação aprovado, sendo vedada a sua utilização para despesas de capital”. Vale ressaltar também  que a participação nas reuniões plenárias ampliadas e o valor do CSC devem ser custeados pelo Fundo de Apoio.
13. A custear com Recursos do Fundo de Apoio: compreende o valor que será custeado com recursos do Fundo de Apoio em cada elemento de despesas.
14. Responsável pela Execução – nome do responsável pela execução da ação.
</t>
    </r>
  </si>
  <si>
    <t>OBS: De acordo com a Deliberação DPAEBR Nº 004-01/2020 - "Vedada a inobservância de aplicação do percentual mínimo, referenciado na Receita de Arrecadação Líquida (RAL), de 15% (quinze por cento) nas atividades de Fiscalização, os órgãos deliberativos dos CAU/UF poderão, mediante as justificativas próprias, flexibilizar a aplicação de recursos mínimos e máximos na Reprogramação do Plano de Ação e Orçamento de 2020."</t>
  </si>
  <si>
    <t>3) Usar o arquivo da Reprogramação 2020 enviado pela GERPLAN.</t>
  </si>
  <si>
    <r>
      <t xml:space="preserve">Participação do CAU na elaboração ou regulamentação da Lei da Assistência Técnica Gratuita (Lei nº 11.888/08) (%) - </t>
    </r>
    <r>
      <rPr>
        <b/>
        <sz val="20"/>
        <rFont val="Calibri"/>
        <family val="2"/>
        <scheme val="minor"/>
      </rPr>
      <t>(CAU/UF)</t>
    </r>
  </si>
  <si>
    <t>Projetado
Jul/Dez  (C)</t>
  </si>
  <si>
    <t>Execução 
Jan/Jun (B)</t>
  </si>
  <si>
    <t>Orientações de Preenchimento dos Elementos de Despesas:</t>
  </si>
  <si>
    <t>9) O valor das "Receitas realizadas 2020": retirar do SISCONT. NET, no caminho:  "Contabilidade&gt; Relatórios-&gt;Consolidado&gt;comparativo da receita"; período de 01/01/2020 até 22/06/2020; na coluna "Arrec.Período"</t>
  </si>
  <si>
    <t>Errata 1: Ajuste na data para 22/6/2020</t>
  </si>
  <si>
    <t>MAPA ESTRATÉGICO CAU/BA</t>
  </si>
  <si>
    <t>Presidência</t>
  </si>
  <si>
    <t>A</t>
  </si>
  <si>
    <t>Direção Geral</t>
  </si>
  <si>
    <t>Gerência Técnica</t>
  </si>
  <si>
    <t>Gerência de Operações</t>
  </si>
  <si>
    <t>Gerência Adm. Financeira</t>
  </si>
  <si>
    <t>Assessoria Jurídica</t>
  </si>
  <si>
    <t>Comissão de Ética</t>
  </si>
  <si>
    <t>Comissão de Atos Administrativos</t>
  </si>
  <si>
    <t>Comissão de Exercício Profissional e Fiscalização</t>
  </si>
  <si>
    <t>Comissão de Planejamento e Finanças</t>
  </si>
  <si>
    <t>Comissão de Ensino</t>
  </si>
  <si>
    <t>Comissão Especial de Política Profissional</t>
  </si>
  <si>
    <t>Comissão Especial Política Urbana</t>
  </si>
  <si>
    <t>Plenária</t>
  </si>
  <si>
    <t>P</t>
  </si>
  <si>
    <t>Comissão de Assistência Técnica</t>
  </si>
  <si>
    <t>Gerência de Atendimento</t>
  </si>
  <si>
    <t>Gerência de Fiscalização</t>
  </si>
  <si>
    <t>Articulação Institucional e fomento de parcerias estratégicas.</t>
  </si>
  <si>
    <t>Prover recursos humanos e materiais para articular parcerias e estimular práticas voltadas a valorização e fiscalização profissional</t>
  </si>
  <si>
    <t>Manutenção Institucional</t>
  </si>
  <si>
    <t>Prover  a estruturação, seja por meio de recursos humanos, equipamentos,  materiais e tecnologia  para execução das atividades das diversas unidades e comissões regimentais e não regimentais do CAU/BA</t>
  </si>
  <si>
    <t>Orientação, esclarecimento e atendimento de demandas de profissionais e empresas</t>
  </si>
  <si>
    <t xml:space="preserve">Orientar, disciplinar e promover o exercício qualificado da Arquitetura e Urbanismo </t>
  </si>
  <si>
    <t>Operacionalização dos processos éticos e de multa/fiscalização</t>
  </si>
  <si>
    <t>Prover recursos humanos e materiais para operacionalizar, planejar e identificar o segmento técnico fiscalizável  e no âmbito do Estado da Bahia, além de prover a estruturação dos processos éticos.</t>
  </si>
  <si>
    <t>Manutenção Administrativa financeira</t>
  </si>
  <si>
    <t>Prover recursos humanos e materiais, operacionalizar e planejar a continuidade das ações administrativas e financeiras do CAU/BA, zelando pelo equilíbrio das contas e da contratação mais vantajosa para o Conselho.</t>
  </si>
  <si>
    <t>Consultoria e Assessoria Jurídica</t>
  </si>
  <si>
    <t>Prover recursos humanos e materiais para estruturar, organizar e manter em funcionamento a Assessoria Jurídica do CAU-BA.</t>
  </si>
  <si>
    <t>Operacionalização e processamento dos  processos éticos</t>
  </si>
  <si>
    <t>Prover recursos humanos e materiais visando o processamento das demandas ético-disciplinares</t>
  </si>
  <si>
    <t>Assessoramento organizacional-institucional</t>
  </si>
  <si>
    <t>Prover recursos humanos e materiais visando a estruturação e organização dos normativos do CAU/BA.</t>
  </si>
  <si>
    <t>Operacionalização da Fiscalização e fomento da valorização profissional</t>
  </si>
  <si>
    <t>Prover recursos humanos e materiais visando a estruturação e organização das ações de valorização profissional e de fiscalização.</t>
  </si>
  <si>
    <t>Operacionalização, Planejamento e Controle do CAU</t>
  </si>
  <si>
    <t>Prover recursos humanos e materiais visando a estruturação e organização do planejamento e de controle do CAU/BA</t>
  </si>
  <si>
    <t>Fomento ao aperfeiçoamento e à formação profissional</t>
  </si>
  <si>
    <t>Prover recursos humanos e materiais visando a estruturação e organização da educação continuada e de formação profissional no âmbito do CAU/BA.</t>
  </si>
  <si>
    <t>Fomento a ações que buscam promover melhorias da prática profissional</t>
  </si>
  <si>
    <t>Prover recursos técnicos visando a estruturação ao empreendedorismo dos arquitetos e urbanistas</t>
  </si>
  <si>
    <t>Fomento a ações que buscam promover melhorias da política urbana estadual</t>
  </si>
  <si>
    <t>Prover recursos técnicos visando opinar sobre matérias com impacto urbanista</t>
  </si>
  <si>
    <t>Operacionalização das reuniões institucionais regimentais</t>
  </si>
  <si>
    <t>Intercambiar informações e atualizar as diretrizes de atuação no âmbito Estadual</t>
  </si>
  <si>
    <t>Dia do Arquiteto</t>
  </si>
  <si>
    <t>Promover evento que fomente a dignificação da Arquitetura por meio do intercâmbio de informações técnico-temático</t>
  </si>
  <si>
    <t>APC - Aperfeiçoamento Profissional Continuado</t>
  </si>
  <si>
    <t>Construir parcerias e identificar temáticas que contribuam para a maturação do conteúdo de formação profissional</t>
  </si>
  <si>
    <t>Patrocínio</t>
  </si>
  <si>
    <t>Intensificar parcerias voltadas ao desenvolvimento da Arquitetura e Urbanismo</t>
  </si>
  <si>
    <t>Aporte ao Fundo de Apoio</t>
  </si>
  <si>
    <t>Contribuir para estruturação e distribuição de recursos vinculadas a constituição de Fundo de Apoio.</t>
  </si>
  <si>
    <t>Comunicação Institucional</t>
  </si>
  <si>
    <t>Prover recursos humanos e materiais para promover e disseminar a  missão, visão,  consolidando a marca CAU/BA</t>
  </si>
  <si>
    <t>Programa de Capacitação dos Colaboradores</t>
  </si>
  <si>
    <t>Direcionar o profissional a um processo de educação, reciclagem e alteração de comportamento</t>
  </si>
  <si>
    <t>Programa de Assistência Técnica</t>
  </si>
  <si>
    <t>Disseminar e sensibilizar a assistência técnica pública e gratuita para o projeto e a construção de habitação de interesse social, como parte integrante do direito social à moradia previsto.</t>
  </si>
  <si>
    <t>Atendimento da Sociedade e arquitetos e urbanistas</t>
  </si>
  <si>
    <t>Aperfeiçoar o atendimento aos públicos interno e externo e  aprimorar o relacionamento com a sociedade</t>
  </si>
  <si>
    <t>Reforma sede CAU/BA</t>
  </si>
  <si>
    <t>Reestruturação dos espaços e atividades</t>
  </si>
  <si>
    <t>Aquisição de Equipamentos</t>
  </si>
  <si>
    <t>Modernizar parque computacional do CAU/BA</t>
  </si>
  <si>
    <t>CSC -Fiscalização</t>
  </si>
  <si>
    <t>Dotar a Gerência de Fiscalização de sistemas que facilitem a gestão e a tomada de decisão no Plano de Fiscalização do CAU/BA</t>
  </si>
  <si>
    <t>CSC- Atendimento</t>
  </si>
  <si>
    <t>Dotar a Gerência de Atendimento de sistemas que facilitem e agilizem o atendimento aos profissionais</t>
  </si>
  <si>
    <t>Plano de Fiscalização</t>
  </si>
  <si>
    <t>Implementar o Plano de Fiscalização Profissional no âmbito do Estado da Bahia</t>
  </si>
  <si>
    <t>Reserva de Contingência</t>
  </si>
  <si>
    <t>Suportar eventuais ações estratégicas não contempladas no PA</t>
  </si>
  <si>
    <t>Aquisição sede CAU/BA</t>
  </si>
  <si>
    <t>Melhoria das instalações e das distribuições das unidades internas e atividades funcionais</t>
  </si>
  <si>
    <t>CAU/BA Mais Perto</t>
  </si>
  <si>
    <t>Credenciar mobilizadores para coletar dados e realizar ações de sensibilização nos municípios do interior do Estado</t>
  </si>
  <si>
    <t>Eleições</t>
  </si>
  <si>
    <t>Estruturar e organizar a realização das Eleições para o triênio 2021 a 2024</t>
  </si>
  <si>
    <t>Concurso Público</t>
  </si>
  <si>
    <t>Estruturar e organizar a realização do Concurso Público</t>
  </si>
  <si>
    <t>Fortalecimento e sedimentação da missão e visão do sistema CAU em face da sociedade, profissionais, instituições públicas e privadas.</t>
  </si>
  <si>
    <t>Manter a continuidade dos serviços e atividades do CAU/BA; Assegurar o bom funcionamento, manter a organização e promover a estruturação necessária para garantia da eficácia dos serviços, desde o atendimento, fomento à valorização profissional e fiscalização.</t>
  </si>
  <si>
    <t xml:space="preserve">Melhorar quantitativamente e qualitativamente o atendimento prestado aos profissionais e empresas </t>
  </si>
  <si>
    <t>Contribuir para a maximização das ações de fiscalização com utilização de mecanismos inovadores para sua efetivação; Contribuir para a maximização das ações disciplinares éticas.</t>
  </si>
  <si>
    <t>Melhoria no gerenciamento do fluxo de pagamentos e contratações, com vistas a estruturar rotinas eficazes de gestão.</t>
  </si>
  <si>
    <t>Elevar o conhecimento dos colaboradores em normativos aplicáveis a autarquia CAU/BA, compartilhando informações e procedimentos</t>
  </si>
  <si>
    <t>Contribuir para a otimização e agilização dos processos administrativos ético-disciplinares no âmbito do CAU/BA</t>
  </si>
  <si>
    <t>Contribuir para a otimização e agilização dos procedimentos operacionais e administrativos no âmbito do CAU/BA.</t>
  </si>
  <si>
    <t>Contribuir para a efetivação da fiscalização, mediante análise comparativa de dados, cumprimento de diligências, participação da sociedade, com vistas a assegurar a melhoria do exercício profissional do Arquiteto e Urbanista.</t>
  </si>
  <si>
    <t>Contribuir para a otimização e agilização dos procedimentos de planejamento e de controle no âmbito do CAU/BA</t>
  </si>
  <si>
    <t>Contribuir para a otimização e agilização dos procedimentos internos no âmbito do CAU/BA vinculados ao ensino e formação.</t>
  </si>
  <si>
    <t>Contribuir para a disseminação da cultura empreendedora e organização da ativiade profissional sob a perspectiva dos negócios</t>
  </si>
  <si>
    <t>Contribuir para a inserção da arquitetura nos planos gerais e parciais de urbanização ou reurbanização das cidades do estado da Bahia</t>
  </si>
  <si>
    <t>Prover recursos humanos e materiais visando a estruturação e organização das ações do Plenário do âmbito do CAU/BA</t>
  </si>
  <si>
    <t>Intensificar e aproximar O CAU/BA com seu público-alvo e a sociedade em geral, além de aprimorar a atuação profissional, por meio do fomento ao aperfeiçoamento profissional.</t>
  </si>
  <si>
    <t>Dotar o CAU/BA de rotina continuada de fomento e de valorização profissional</t>
  </si>
  <si>
    <t>Estruturar e solidificar parcerias estratégicas</t>
  </si>
  <si>
    <t>Participação na estruturação de organização sistêmica nacional</t>
  </si>
  <si>
    <t>Solidificar a imagem, a marca e a missão do CAU/BA enquanto instituição que busca promover a Arquitetura para todos, em defesa da sociedade</t>
  </si>
  <si>
    <t>Dotar o CAU/BA de rotina continuada de fomento e de valorização dos colaboradores</t>
  </si>
  <si>
    <t>Valorização e disseminação da cultura da Assistência Técnica</t>
  </si>
  <si>
    <t>Aperfeiçoar a qualidade do atendimento prestado aos públicos interno e externo.</t>
  </si>
  <si>
    <t>O redimensionamento dos espaços contribuirá para melhoria das atividades de fiscalização, de registro, cadastro, atendimento e funcionamento do CAU/BA</t>
  </si>
  <si>
    <t>Otimização e agilização dos procedimentos internos e redução no tempo de atendimento ao profissional Arquiteto e Urbanista</t>
  </si>
  <si>
    <t>Otimização e agilização dos procedimentos internos de fiscalização</t>
  </si>
  <si>
    <t xml:space="preserve">Melhoria na qualidade e na redução do tempo de atendimento </t>
  </si>
  <si>
    <t>Manter a continuidade Operacional do Plano de Fiscalização, visando maximização de suas ações.</t>
  </si>
  <si>
    <t>Possibilitar a aplicação de recursos em ações não contempladas no PA</t>
  </si>
  <si>
    <t>Levar a fiscalização do CAU/BA aos municípios do interior, para otimizar a conformidade do exercício profissional</t>
  </si>
  <si>
    <t>Dar conformidade e garantia ao processo eleitoral</t>
  </si>
  <si>
    <t>Dar conformidade e garantia ao processo de contratação de pessoal</t>
  </si>
  <si>
    <t>CAU/BA</t>
  </si>
  <si>
    <t>R</t>
  </si>
  <si>
    <t>E</t>
  </si>
  <si>
    <t>AT</t>
  </si>
  <si>
    <t>Promover a gestão do Conselho através de reuniões com as unidades do CAU/BA</t>
  </si>
  <si>
    <t>Melhoria na disseminação das informações da alta direção no Conselho e obter informações das unidades internas para alinhamento e tomada de decisão</t>
  </si>
  <si>
    <t xml:space="preserve">Promover articulação para parcerias estratégicas com órgãos públicos e entidades privadas </t>
  </si>
  <si>
    <t>Celebração de termos de cooperação, de acordo e convênios objetivando  troca de dados e informações voltadas a balizar as ações de fiscalização.</t>
  </si>
  <si>
    <t>Realizar as reuniões Plenárias</t>
  </si>
  <si>
    <t>Promover os encaminhamentos de matérias cuja apreciação seja de competência do Plenário.</t>
  </si>
  <si>
    <t>Participar das reuniões do fórum de Presidentes e das Plenárias do CAUBR</t>
  </si>
  <si>
    <t>Melhoria da gestão com troca de informações entre os Presidentes e gestores dos demais CAU/UF's</t>
  </si>
  <si>
    <t>Folha anual de pagamento contendo contendo gastos com salários e encargos da Secretaria da Presidência</t>
  </si>
  <si>
    <t>Garantia da execução das atividades e serviços da unidade</t>
  </si>
  <si>
    <t>ATIVIDADE</t>
  </si>
  <si>
    <t>Atividade</t>
  </si>
  <si>
    <t>Assessorar a gestão do Cau-Ba através de reuniões com as unidades do conselho, presidência e Plenária</t>
  </si>
  <si>
    <t>Esclarecer, estruturar e organizar os ritos e ações vinculadas a gestão do Conselho.</t>
  </si>
  <si>
    <t xml:space="preserve">Contatar Prefeituras e órgãos públicos objetivando celebrar parcerias voltadas a fiscalização através de acordos de coperação </t>
  </si>
  <si>
    <t xml:space="preserve">Celebração de Parcerias estratégicas. </t>
  </si>
  <si>
    <t xml:space="preserve">Monitorar a gestão operacional e de equipes do CAU/BA com elaboração de fluxos orientativos </t>
  </si>
  <si>
    <t>Viabilizar o alcance e atingimento  das diretrizes estratégicas instituídas pelo CAU/BR e das metas parametrizadas pelo CAU/BA, através da equipe operacional</t>
  </si>
  <si>
    <t>Contribuir para elaboração do Plano de Ação com reuniões com o plenário e comissões</t>
  </si>
  <si>
    <t>Viabilizar o alcance e atingimento  das diretrizes estratégicas instituídas pelo CAU/BR e das metas parametrizadas pelo CAU/BA, através da Conselho Diretor.</t>
  </si>
  <si>
    <t xml:space="preserve">Estruturar agenda de eventos com levantamento de necessidades, cotações e minutas de contrato </t>
  </si>
  <si>
    <t xml:space="preserve">Promover a facilitação de compreensão do CAU/BA e das melhores práticas profissionais. </t>
  </si>
  <si>
    <t>Pagamentos mensais de tarias bancárias e impostos</t>
  </si>
  <si>
    <t>Folha anual de pagamento  contendo gastos salários e encargos</t>
  </si>
  <si>
    <t>Garantir a manutenção institucional</t>
  </si>
  <si>
    <t>Garantia do bom funcionamento, manter a organização e promover a estruturação necessária para garantia da eficácia dos serviços</t>
  </si>
  <si>
    <t>Compra anual de material de consumo</t>
  </si>
  <si>
    <t>Mater a continuidade dos serviços e atividades do conselho</t>
  </si>
  <si>
    <t>Participar em evento nacional - passagens</t>
  </si>
  <si>
    <t>Alinhar conhecimentos com demais unidades do sistema CAU</t>
  </si>
  <si>
    <t>Participar em evento nacional</t>
  </si>
  <si>
    <t>Andrea Noronha</t>
  </si>
  <si>
    <t>Gilcinea Barbosa</t>
  </si>
  <si>
    <t>Efetuar auditoria dos RRTs emitidos nas modalidades Simples, Mínimo e Múltiplo Mensal por amostragem</t>
  </si>
  <si>
    <t>Identificar irregularidades sanáveis e insanáveis para adoção de ações futuras no intuito de reduzir as inconformidades e prevenir ilícitos</t>
  </si>
  <si>
    <t>Validar certidões de acervo técnico com atestado em conformidade com as normas específicas, atribuição e prática profissional</t>
  </si>
  <si>
    <t>Possibilitar habilitação de arquitetos e urbanistas em processos licitatórios</t>
  </si>
  <si>
    <t>Validar o registro de responsabilidade técnica de atividades, quando efetuado em desconformidade com as condições estabelecidas no art. 2° da  Resolução nº 91 do CAU-BR e registro de responsabilidade técnica de atividade(s) objeto de Anotação de Responsabilidade Técnica (ART) efetuada.</t>
  </si>
  <si>
    <t>Possibilitar  a regularização e o cumprimento do Art. 45 da Lei Federal 12.378, que dispõe que toda realização por parte de arquitetos e urbanistas de trabalho de competência privativa ou de atuação compartilhadas com outras profissões regulamentadas será objeto de Registro de Responsabilidade Técnica - RRT e possibilitar a transcrição dos dados cadastrados no formulário de ART para o formulário de RRT.</t>
  </si>
  <si>
    <t>Atender às solicitações de registro de pessoas jurídicas no prazo de 30 (trinta) dias úteis, quando não há pendência de documentação</t>
  </si>
  <si>
    <t>Habilitar as pessoas jurídicas que tenham por objetivo social o exercício de atividades profissionais privativas de arquitetos e urbanistas e/ou  cumulativamente com atividades em outras áreas profissionais a atuarem no mercado através do registro no Conselho</t>
  </si>
  <si>
    <t xml:space="preserve">Folha anual de pagamento  contendo gastos salários e encargos do gerente, do assistente operacional (previsão do concurso) </t>
  </si>
  <si>
    <t>Participar de  evento nacional</t>
  </si>
  <si>
    <t>Participar de evento nacional - passagens</t>
  </si>
  <si>
    <t>Gerenciar contrato de terceirizados</t>
  </si>
  <si>
    <t>Marcia Santiago</t>
  </si>
  <si>
    <t>Gerir, operacionalizar e organizar os processos ético-disciplinares desde a instauração/admissibilidade, instrução, julgamento e execução, bem como assessorar a Comissão de Ética e Disciplina do CAU/BA na condução dos procedimentos/processos de ética e disciplina.</t>
  </si>
  <si>
    <t xml:space="preserve">Atender satisfatoriamente as demandas de ética e disciplina </t>
  </si>
  <si>
    <t>Cumprir os despachos e determinações dos conselheiros integrantes da CED no âmbitos dos procedimentos/processos de ética e disciplina.</t>
  </si>
  <si>
    <t>Organizar e participar das audiências vinculadas aos processos ético-disciplinares do CAU/BA a serem realizadas no âmbito do CAU/BA, sendo 07 (sete) no interior e 06 (seis) na capital</t>
  </si>
  <si>
    <t xml:space="preserve">Postagem via Correios de documentos vinculados aos procedimentos/processos ético-disciplinares. </t>
  </si>
  <si>
    <t>Participar de eventos nacionais vinculados à ética e disciplina.</t>
  </si>
  <si>
    <t xml:space="preserve">Ampliar o conhecimento </t>
  </si>
  <si>
    <t>Participar de eventos nacionais vinculados à ética e disciplina - Passagens</t>
  </si>
  <si>
    <t>Organizar e participar das reuniões mensais da Comissão de Ética e Disciplina do CAU/BA.</t>
  </si>
  <si>
    <t>Folha anual de pagamento  contendo gastos salários e encargos do analista (previsão concurso) e do assistente operacional</t>
  </si>
  <si>
    <t xml:space="preserve"> Monitorar e incrementar a cobrança através de e-mails, cobrança amigável e inscrição em dívida ativa os profissionais que estão inadimplentes perante ao Conselho</t>
  </si>
  <si>
    <t>Diminuir a inadimplência e melhorar arrecadação</t>
  </si>
  <si>
    <t>Contabilização, conciliação e monitoramento das receitas e despesas com emissão de relatórios mensais</t>
  </si>
  <si>
    <t>Auxiliar a comissão e finanças e o plenário no acompanhamento da execução do orçamento para tomada de decisão</t>
  </si>
  <si>
    <t>Reuniões semestrais para levantar demandas das unidades do CAU/BA, prevendo contratações administrativas necessárias vinculadas ao funcionamento-manutenção do Conselho</t>
  </si>
  <si>
    <t xml:space="preserve">Auxiliar as unidades do CAU/BA na contratação de produtos/serviços para execução das suas atividades/projetos </t>
  </si>
  <si>
    <t>Participar de reuniões nacionais para realizar troca de conhecimento e de experiência no âmbito do Sistema CAU</t>
  </si>
  <si>
    <t>Melhor entendimento e padronização das ações sistêmicas do CAU</t>
  </si>
  <si>
    <t>Participar de reuniões nacionais para realizar troca de conhecimento e de experiência no âmbito do Sistema CAU - empresa contabilidade terceirizada</t>
  </si>
  <si>
    <t>Participar de reuniões nacionais para realizar troca de conhecimento e de experiência no âmbito do Sistema CAU - Passagens</t>
  </si>
  <si>
    <t>Gerenciar contrato dos terceirizados</t>
  </si>
  <si>
    <t>Garantia da execução das atividades e serviços da unidade e do Conselho</t>
  </si>
  <si>
    <t>Ralfe Vinhas</t>
  </si>
  <si>
    <t xml:space="preserve">Sistematizar os procedimentos com definição de prazo de atendimento </t>
  </si>
  <si>
    <t xml:space="preserve">Melhorar o atendimento e reduzir o tempo de espera dos demandantes.  </t>
  </si>
  <si>
    <t>Analisar os documentos e demandas que ingressarem na Assessoria Jurídica e atender nos prazos pré-definidos, elaborando quando necessário.</t>
  </si>
  <si>
    <t>Atender satisfatoriamente as demandas</t>
  </si>
  <si>
    <t>Participar das audiências vinculadas aos processos ético-disciplinares do CAU/BA a serem realizadas no âmbito do CAU/BA, sendo 07 (sete) no interior e 06 (seis) na capital</t>
  </si>
  <si>
    <t xml:space="preserve">Contribuir para a conclusão dos processos éticos em conformidade com a legislação </t>
  </si>
  <si>
    <t xml:space="preserve">Postagens de documentos via Correios vinculados às atividades da Assessoria Jurídica </t>
  </si>
  <si>
    <t xml:space="preserve">Participar de eventos nacionais vinculados a atuação da Assessoria Jurídica </t>
  </si>
  <si>
    <t>Participar de eventos nacionais vinculados a atuação da Assessoria Jurídica - Passagens</t>
  </si>
  <si>
    <t>Participar das reuniões mensais da Comissão de Ética e Disciplina do CAU/BA</t>
  </si>
  <si>
    <t xml:space="preserve">Folha anual de pagamento contendo gastos salários e encargos do assessor jurídico, do analista advogado </t>
  </si>
  <si>
    <t>Gerenciar contrato de estágios</t>
  </si>
  <si>
    <t>Francilice Pereira</t>
  </si>
  <si>
    <t>Zelar pela observância dos dispositivos do Código de Ética elaborado pelo CAU/BR para realizar admissibilidades de denúncias, manifestações em processos e audiências na capital e interior do Estado</t>
  </si>
  <si>
    <t xml:space="preserve">Sistematizar atuação uniformizada  em processos éticos. </t>
  </si>
  <si>
    <t>Zelar pela observância dos dispositivos do Código de Ética elaborado pelo CAU/BR para realizar admissibilidades de denúncias, manifestações em processos e audiências na capital e interior do Estado - passagens</t>
  </si>
  <si>
    <t xml:space="preserve">Promover palestras orientativas nas diversas áreas de atuação do CAU aos profissionais da capital e do interior </t>
  </si>
  <si>
    <t>Socializar o aprendizado do Processo Ético e suas inovações para os profissionais e Conselheiros</t>
  </si>
  <si>
    <t>Participar de reuniões nacionais inerentes as responsabilidades da Comissão</t>
  </si>
  <si>
    <t>Promover a troca de informações e boas práticas vinculadas a atuação da respectiva comissão</t>
  </si>
  <si>
    <t xml:space="preserve">
Folha anual de pagamento contendo gastos salários e encargos do  do analista advogado </t>
  </si>
  <si>
    <t>Eunice Alves Gusmão</t>
  </si>
  <si>
    <t>Zelar pela observância  e conformidade dos processos mediante monitoramento dos atos internos</t>
  </si>
  <si>
    <t>Sistematizar atuação uniformizada do Conselho voltada a  conformidade dos processos e atos administrativos internos</t>
  </si>
  <si>
    <t>Promover ações de orientação  interna ao CAUBA através de reuniões junto as Comissões e com os colaboradores</t>
  </si>
  <si>
    <t xml:space="preserve">Padronizar fluxos de procedimentos das diversas unidades internas. </t>
  </si>
  <si>
    <t>Saul Kaminsky Bernfeld Oliveira</t>
  </si>
  <si>
    <t>Zelar pela observância  e conformidade do exercício profissional, considerando os normativos  e legislações vigentes, através de reuniões junto as Comissões e com os colaboradores</t>
  </si>
  <si>
    <t>Sistematizar atuação uniformizada do Conselho voltada a  conformidade das melhores praticas profissionais</t>
  </si>
  <si>
    <t>Estabelecer as diretrizes específicas para a orientação, supervisão e normatização da fiscalização através de reuniões com a Fiscalização e a Direção Geral</t>
  </si>
  <si>
    <t xml:space="preserve">Estimular a  compreensão do papel da fiscalização do Conselho pela  a sociedade e pelos  os profissionais, mediante dados objetivos a serem publicitados; </t>
  </si>
  <si>
    <t>Ernesto Regino Xavier de Carvalho</t>
  </si>
  <si>
    <t>Zelar pela observância  e conformidade dos processos e monitoramento das receitas e despesas do Conselho, através de reuniões com comissão e com o Plenário</t>
  </si>
  <si>
    <t>Viabilizar o alcance da conformidade em face   das diretrizes estratégicas instituídas pelo CAU/BR e das metas parametrizadas pelo CAU/BA, através da Conselho Diretor.</t>
  </si>
  <si>
    <t>Promover orientações trimestrais na prestação de contas das unidades</t>
  </si>
  <si>
    <t>Sistematizar atuação uniformizada do Conselho voltada a  conformidade dos processos.</t>
  </si>
  <si>
    <t>Bruno Santa Fé</t>
  </si>
  <si>
    <t xml:space="preserve">Levantar necessidades e dificuldades existentes entre as universidades em face do CAU/BA através de palestras orientativas </t>
  </si>
  <si>
    <t>Aproximar o Conselho das Universidades, buscando a melhoria do ensino de Arquitetura e Urbanismo.</t>
  </si>
  <si>
    <t>Promover reuniões para zelar pela observância das Diretrizes nacionais quanto a questão do ensino no âmbito do Estado da Bahia</t>
  </si>
  <si>
    <t>Sistematizar atuação uniformizada do Conselho voltada a  conformidade de compreensão dos conteúdos pelas Instituições de Ensino Estadual.</t>
  </si>
  <si>
    <t>Sistematizar agendas periódicas com instituições de ensino com palestras e/ou ficinas orientativas, direcionada à formação do acadêmico, quanto ao exercício da atividade profissinal</t>
  </si>
  <si>
    <t>Aproximar o Conselhos dos acadêmicos com foco no desenvolvimento mais eficiente do exercício profissinal.</t>
  </si>
  <si>
    <t>Participar de reuniões nacionais inerentes as responsabilidades da Comissão - funcionário</t>
  </si>
  <si>
    <t>Neilton Dórea Rodrigues de Oliveira</t>
  </si>
  <si>
    <t>Promover reuniões para prover recursos técnicos visando a estruturação ao empreendedorismo dos arquitetos e urbanistas</t>
  </si>
  <si>
    <t>Promover reuniões para prover recursos técnicos visando a estruturação ao empreendedorismo dos arquitetos e urbanistas - passagens</t>
  </si>
  <si>
    <t>Frank Caramelo</t>
  </si>
  <si>
    <t>Promover reuniões para prover recursos técnicos visando opinar sobre matérias com impacto urbanista no Estado</t>
  </si>
  <si>
    <t>Promover reuniões para prover recursos técnicos visando opinar sobre matérias com impacto urbanista no Estado - passagens</t>
  </si>
  <si>
    <t>Zelar pela observância  e conformidade de atuação do Conselho perante a sociedade com reuniões mensais</t>
  </si>
  <si>
    <t xml:space="preserve">Direcionar estrategicamente as ações do Conselho pugnando pelo cumprimento de sua missão. </t>
  </si>
  <si>
    <t>Zelar pela observância  e conformidade de atuação do Conselho perante a sociedade com reuniões mensais - Passagens</t>
  </si>
  <si>
    <t>Gilcinéa Barbosa</t>
  </si>
  <si>
    <t>Realização do evento do Dia do Arquiteto</t>
  </si>
  <si>
    <t>Discriminar atividades, produtos e serviços necessários à operacionalização do evento, inclusive identificando potenciais parceiros para o evento do dia 15.12.2019</t>
  </si>
  <si>
    <t>Projeto</t>
  </si>
  <si>
    <t>Aporte mensal ao Fundo de Apoio aos CAU´s básicos</t>
  </si>
  <si>
    <t>Viabilização do Fundo de Apoio ao Sistema CAU para manter o percentual definido nas diretrizes estabelecidas pelo CAU/BR</t>
  </si>
  <si>
    <t>Ralfe  Vinhas</t>
  </si>
  <si>
    <t>Participar de evento nacional vinculados ao projeto</t>
  </si>
  <si>
    <t>Participar de evento nacional vinculados ao projeto- funcionário</t>
  </si>
  <si>
    <t>Participar de evento nacional vinculados ao projeto- Passagens</t>
  </si>
  <si>
    <t>Contratar serviços técnicos de design, vídeo e fotografia vinculados a área de comunicação e marketing</t>
  </si>
  <si>
    <t>Manter os profissionais e sociedade atualizados em matérias vinculadas à Arquitetura e Urbanismo.</t>
  </si>
  <si>
    <t>Gerenciar contratação de  impressão dos produtos voltados a comunicação</t>
  </si>
  <si>
    <t>Contribuir para disseminação de informações diretas aos profissionais e a sociedade</t>
  </si>
  <si>
    <t>Ana Paula</t>
  </si>
  <si>
    <t>Postagem de carteiras de identidade profissional (Região Metropolitana de Salvador e Interior do Estado)</t>
  </si>
  <si>
    <t>Entrega de carteiras aos profissionais residentes no interior do Estado</t>
  </si>
  <si>
    <t>Atendimento biométrico - Interior do Estado (Vitória da Conquista)</t>
  </si>
  <si>
    <t>Emissão de carteira de identidade profissional dos profissionais residentes no interior do estado</t>
  </si>
  <si>
    <t>Atendimento biométrico - Interior do Estado (Ilhéus/Itabuna)</t>
  </si>
  <si>
    <t>Sistema Integrado de Atendimento ao Cliente</t>
  </si>
  <si>
    <t>Implementação de gestão qualificada dos atendimentos realizados</t>
  </si>
  <si>
    <t>Folha anual de pagamento contendo contendo gastos salários e encargos da gerente e da estagiária</t>
  </si>
  <si>
    <t>Emissão de passagens para atendimento no interior do estado</t>
  </si>
  <si>
    <t>Ana Paula Couto</t>
  </si>
  <si>
    <t>Emitir relatórios a partir das informações do SICCAU, identificar PJ com registro ativo, sem responsável técnico. Recepcionar demandas da GETEC de baixas de resp. técnica pelo profissional. Acompanhar regularização. Lavrar auto de infração para PJ não regularizadas.</t>
  </si>
  <si>
    <t>Redução nos índices de irregularidades de  empresas através da fiscalização.</t>
  </si>
  <si>
    <t>Realizar fiscalização Preventiva em 15 potenciais empreendimentos, enviar ofícios, agendar visitas e reuniões com gestores dos empreendimentos. Pesquisar RRT's no SICCAU referentes ao empreendimento</t>
  </si>
  <si>
    <t>Ampliar o conhecimento acerca das informações e obrigações de gestores e Responsável Técnicos perante o Conselho de Arquitetura e rbanismo</t>
  </si>
  <si>
    <t>Emitir notificações Preventivas,  verificar registro de PJ através do cruzamento de dados do SICCAU com listas de PJ cadastradas na JUCEB com atividades de arquitetura e urbanismo. Emitir Not Prev. Acompanhar regularização. Lavrar auto de infração para PJ não regularizadas.</t>
  </si>
  <si>
    <t>Enviar ofícios à Municípios para início de Ação de fiscalização. Agendar Ação contemplando vista aos processos. Elaborar relatórios. Verificar irregularidades. Emitir notificação preventiva para regularização.</t>
  </si>
  <si>
    <t>Redução de infrações nos processos de licenciamento por falta ética ou desconhecimento dos corretos procedimentos de elaboração e preenchimento de RRT.</t>
  </si>
  <si>
    <t xml:space="preserve">110 RRT's </t>
  </si>
  <si>
    <t>Levantar no SICCAU quantitativo de RRT’ mínimos. Transferir para planilha excel. Analisar quantitativo por profissional (definir parâmetro de malha). Encaminhar Ofício ao profissional solicitando esclarecimento. Analisar necessidade de diligência em campo</t>
  </si>
  <si>
    <t>Redução de RRT mínimos elaborados indevidamente</t>
  </si>
  <si>
    <t>Realizar vistorias de fiscalização (Shoppings – Estações de Transbordo /Escolas). Notificação ou documento ordenatório de regularização, com solicitação do projeto para regularização e indicações dos prazos de execução.</t>
  </si>
  <si>
    <t>Melhoria dos espaços de uso  público com relação a acessibilidade, mediante exigência de atendimento à Lei 13.146</t>
  </si>
  <si>
    <t>Folha anual de pagamento contendo contendo gastos salários e encargos do gerente</t>
  </si>
  <si>
    <t xml:space="preserve">Executar ações de fiscalização no interior do estado </t>
  </si>
  <si>
    <t xml:space="preserve">Diminuir o número de denúncias de irregularidades de obras </t>
  </si>
  <si>
    <t>Executar ações de fiscalização no interior do estado - Passagens</t>
  </si>
  <si>
    <t>Executar ações de fiscalização no interior do estado - locação de carro</t>
  </si>
  <si>
    <t>Milena Chaves</t>
  </si>
  <si>
    <t>CSC - Fiscalização</t>
  </si>
  <si>
    <t>12 parcelas</t>
  </si>
  <si>
    <t>não se aplica</t>
  </si>
  <si>
    <t>Dotar a fiscalização de recursos técnicos que otimize procedimentos para melhorar a fiscalização</t>
  </si>
  <si>
    <t>Dotar o setor de atendimento de recursos técnicos que otimize procedimentos para melhorar a qualidade do serviço prestado</t>
  </si>
  <si>
    <t xml:space="preserve"> VALORES BENEFÍCIOS SOBRE A FOLHA DE PAGAMENTO: VALE TRANSPORTE: R$ 33.768,00 / PROGRAMA ALMENTAÇÃO DO TRABALHADOR: R$71280,00 / PLANO DE SAÚDE: R$ 45.360,00</t>
  </si>
  <si>
    <t>Reserva de contingência</t>
  </si>
  <si>
    <t>Adesão ao Projeto  para  desencadear ações formais de  atuação</t>
  </si>
  <si>
    <t>Zelar pelo monitoramento das ações vinculadas à efetivação do Projeto através de reuniões internas e externas - Passagens</t>
  </si>
  <si>
    <t>Elaborar minuta de projeto de capacitação e documentos padrões de estruturação voltados à efetivação da Lei e implementação do Projeto</t>
  </si>
  <si>
    <t>Institucionalização para criação dos Grupos ou Conselhos gestores voltados a Assistência Técnica decorrentes do projeto Arquitetura Solidaria;</t>
  </si>
  <si>
    <t>Articular a construção de Rede voltada a assistência Técnica com 3 Instituições de Ensino, potenciais parceiros e voluntários</t>
  </si>
  <si>
    <t>Agenda permanente de discussões e proposições.</t>
  </si>
  <si>
    <t>APC-Aperfeiçoamento Profissional Continuado, através de credenciamento de PJ para ministrar treinamento para os profissionais</t>
  </si>
  <si>
    <t>Capacitação dos arquitetos com conhecimentos técnicos e de emprendedorismo</t>
  </si>
  <si>
    <t>Avaliação e celebração de parcerias estratégicas através de chamamento público</t>
  </si>
  <si>
    <t>Facilitação da fiscalização, mediante intercâmbio de dados estratégicos. Valorização profissional  mediante fomento de intercâmbio/parcerias que otimizam o exercício e a prática profissional.</t>
  </si>
  <si>
    <t>Contratação de empresas para ministrar capacitação aos profissionais das unidades do CAU/BA</t>
  </si>
  <si>
    <t>Aperfeiçoamento dos atendimentos realizados, mensuráveis nos resultados das pesquisas de avaliação de atendimento</t>
  </si>
  <si>
    <t>Pagamento de diárias a funcionários para treinamento realizado fora da Capital</t>
  </si>
  <si>
    <t>Assegurar capacitação aos servidores, garantindo aproximação em conhecimentos e habilidades nas áreas de maior demanda pelos serviços da unidade</t>
  </si>
  <si>
    <t>Emissão de passagens para funcionários para treinamento realizado fora da Capital</t>
  </si>
  <si>
    <t>ok</t>
  </si>
  <si>
    <t>fotnes</t>
  </si>
  <si>
    <t>usos</t>
  </si>
  <si>
    <t>Contribuir para a disseminação da cultura empreendedora e organização da atividade profissional sob a perspectiva dos negócios</t>
  </si>
  <si>
    <t>Primeiramente a questão do planejamento impõe uma compreensão de movimento, de readequações, ajustes, em situação de normalidade, que dirá, diante de uma situação de calamidade pública, legalmente COVID-19, reconhecida, por meio de edição de Decreto Legislativo de nº 06, em função da pandemia causada em função do Covid-19, que afetou, sobremaneira, todas as atividades produtivas no Brasil, em especial as que fazem interface com as atividades de Arquitetura e Urbanismo, causando enorme impacto com reduções gritantes no que se refere ao volume de negócios da cadeia produtiva da construção civil; 
 Desta forma, as organizações, pública e privadas se adequaram, e migraram de forma abrupta, para o modelo remoto de atuação, considerando, obviamente, uma característica de relevância, de que algumas, não prestavam - naquela oportunidade - serviços, legalmente, reconhecidos, pela própria natureza, diante da pandemia, como do tipo essencial;
 A transformação, ou melhor, migração para o formato remoto, alcançou as finanças, em muitas vertentes: a arrecadação despencou, mas os custos, primitivamente planejados, para determinadas ações e tipos de atividades, também foram descontinuados, por força da inserção de ferramenta substitutiva para que as atividades fossem, ao final realizadas; Os desembolsos com passagens, diárias (para quem aplica a modelagem), ressarcimentos de hospedagens, locomoção, foram praticamente zerados, nas diversas peças de planejamento.
Assim, a reprogramação do Plano de Ação, que continha como indicativo de realização de despesas, para realização de atividades, que requereriam locomoção e desembolsos decorrentes destas atividades vinculadas aos Centros de Custos (ensino e ética) considerandoo a locomoção, resulta inviabilizada diante da situação pandêmica; o que verificamos após a apreciação da peça de planejamento do CAU/BA - para objetivos estratégicos locais  e capacitação; 
As atividades de ética e ensino que requereriam viagens de sensibilização aos diversos Municípios localizados no interior do Estado da Bahia, podem, agora, ser realizadas de forma virtual, sem qualquer desembolso com tais tipos de despesas;  Entretanto, outras despesas vinculadas aos respectivos centros de custo serão realizadas para instrumentalizar as metas físicas dos que se constituem objetivos locais (ética e ensino)  à exemplo de contratações vinculadas a comunicação, como  plataformas, editoração, edições virtuais, designers gráficos, marketing digital, tudo direcionado a estimular e amplificar o conhecimento dos conteúdos que serão tratados pelo CAU/BA no segundo semestre de 2020;
Assim, os objetivos estratégicos locais, serão alcançados, não mais com despesas de passagens, diárias, locomoção, mas com ações de comunicação, abe verificar que na Programação estava aportado para Comunicação - R$150.000,00  na Contingência foi reduzido para R$ 35.000,00 e para Reprogramação retornamos o que estava previsto em sede de Programação, em que pese a redução orçamentária e porque evidenciamos que a comunicação se constitui em peça fundamental e INSTRUMENTAL, em tempos de atuação remota de funcionamento, direcionados a dinamizar e executar atividades dos demais centros de custo. Assim, os objetivos estratégicos locais serão cumpridos, por meio da comunicação; 
Quanto a capacitação,  diante dos diversos cursos gratuitos que foram disponibilizados, além da redução dos custos, por conta da inserção das aulas virtuais em substituição a presencial, e ainda a inexistência de gastos atrelados a locomoção dos colaboradores do CAU/BA, por conta de treinamentos presenciais, em face do isolamento social e pandemia, e ainda, a diminuta disponibilidade de tempo  exequível para essas capacitações, para o segundo semestre de 2020, o CAU/BA entende que o percentual de 1, 4% se ajusta de forma mais razoável, ao que consideramos executável para o exercício de 2020.
São as justificativas, com reafirmação, de posteriores ajustes, considerando as verificações em face do exercício de 2020</t>
  </si>
  <si>
    <t xml:space="preserve">Os valores do CSC em atendimento e fiscalização foram ajustados , sendo o percentual  de fiscalização  o mesmo da Programação- 83,5% (R$ 80.850,94) e Atendimento 16,5% (R$ 15.976,53),  já que os valores executados estão maiores do que os previstos de acordo com os percentuais da Reprogramação. 
</t>
  </si>
  <si>
    <t>Os valores referentes ao encontro de contas e o ressarcimento de tarifas bancárias estão inseridos em outras receitas. Os valores das arrecadações de anuidades PF e PJ foram reajustados, divergindo da diretriz, devido o aumento da arrecadação.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</si>
</sst>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4" formatCode="_-&quot;R$&quot;\ * #,##0.00_-;\-&quot;R$&quot;\ * #,##0.00_-;_-&quot;R$&quot;\ * &quot;-&quot;??_-;_-@_-"/>
    <numFmt numFmtId="43" formatCode="_-* #,##0.00_-;\-* #,##0.00_-;_-* &quot;-&quot;??_-;_-@_-"/>
    <numFmt numFmtId="164" formatCode="_(* #,##0.00_);_(* \(#,##0.00\);_(* &quot;-&quot;??_);_(@_)"/>
    <numFmt numFmtId="165" formatCode="0.0"/>
    <numFmt numFmtId="166" formatCode="#,##0.0"/>
    <numFmt numFmtId="167" formatCode="#,##0.0_ ;\-#,##0.0\ "/>
    <numFmt numFmtId="168" formatCode="0.0%"/>
    <numFmt numFmtId="169" formatCode="_-* #,##0_-;\-* #,##0_-;_-* &quot;-&quot;??_-;_-@_-"/>
    <numFmt numFmtId="170" formatCode="_(* #,##0_);_(* \(#,##0\);_(* &quot;-&quot;??_);_(@_)"/>
    <numFmt numFmtId="171" formatCode="_(* #,##0.0_);_(* \(#,##0.0\);_(* &quot;-&quot;??_);_(@_)"/>
    <numFmt numFmtId="172" formatCode="_-* #,##0.0_-;\-* #,##0.0_-;_-* &quot;-&quot;_-;_-@_-"/>
    <numFmt numFmtId="173" formatCode="#,##0.00_ ;\-#,##0.00\ "/>
    <numFmt numFmtId="174" formatCode="_-* #,##0.00_-;\-* #,##0.00_-;_-* &quot;-&quot;_-;_-@_-"/>
  </numFmts>
  <fonts count="114" x14ac:knownFonts="1">
    <font>
      <sz val="11"/>
      <color theme="1"/>
      <name val="Calibri"/>
      <family val="2"/>
      <scheme val="minor"/>
    </font>
    <font>
      <sz val="12"/>
      <color indexed="81"/>
      <name val="Tahoma"/>
      <family val="2"/>
    </font>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sz val="11"/>
      <color theme="1" tint="0.499984740745262"/>
      <name val="Calibri"/>
      <family val="2"/>
      <scheme val="minor"/>
    </font>
    <font>
      <sz val="20"/>
      <color theme="1"/>
      <name val="Calibri"/>
      <family val="2"/>
      <scheme val="minor"/>
    </font>
    <font>
      <b/>
      <sz val="14"/>
      <color theme="1"/>
      <name val="Calibri"/>
      <family val="2"/>
      <scheme val="minor"/>
    </font>
    <font>
      <sz val="11"/>
      <color rgb="FF006100"/>
      <name val="Calibri"/>
      <family val="2"/>
      <scheme val="minor"/>
    </font>
    <font>
      <sz val="11"/>
      <color rgb="FF9C6500"/>
      <name val="Calibri"/>
      <family val="2"/>
      <scheme val="minor"/>
    </font>
    <font>
      <sz val="14"/>
      <color theme="1"/>
      <name val="Calibri"/>
      <family val="2"/>
      <scheme val="minor"/>
    </font>
    <font>
      <sz val="12"/>
      <color rgb="FF006100"/>
      <name val="Calibri"/>
      <family val="2"/>
      <scheme val="minor"/>
    </font>
    <font>
      <sz val="13"/>
      <color theme="1"/>
      <name val="Calibri"/>
      <family val="2"/>
      <scheme val="minor"/>
    </font>
    <font>
      <sz val="13"/>
      <color rgb="FF006100"/>
      <name val="Calibri"/>
      <family val="2"/>
      <scheme val="minor"/>
    </font>
    <font>
      <sz val="13"/>
      <color rgb="FF9C6500"/>
      <name val="Calibri"/>
      <family val="2"/>
      <scheme val="minor"/>
    </font>
    <font>
      <b/>
      <sz val="14"/>
      <color rgb="FF000000"/>
      <name val="Arial Narrow"/>
      <family val="2"/>
    </font>
    <font>
      <sz val="14"/>
      <color theme="1"/>
      <name val="Arial Narrow"/>
      <family val="2"/>
    </font>
    <font>
      <sz val="13"/>
      <color theme="1"/>
      <name val="Arial Narrow"/>
      <family val="2"/>
    </font>
    <font>
      <sz val="14"/>
      <color rgb="FF000000"/>
      <name val="Calibri"/>
      <family val="2"/>
      <scheme val="minor"/>
    </font>
    <font>
      <b/>
      <sz val="14"/>
      <color rgb="FF000000"/>
      <name val="Calibri"/>
      <family val="2"/>
      <scheme val="minor"/>
    </font>
    <font>
      <sz val="9"/>
      <color theme="1"/>
      <name val="Arial Narrow"/>
      <family val="2"/>
    </font>
    <font>
      <b/>
      <sz val="9"/>
      <color theme="1"/>
      <name val="Arial Narrow"/>
      <family val="2"/>
    </font>
    <font>
      <b/>
      <sz val="16"/>
      <color theme="0"/>
      <name val="Calibri"/>
      <family val="2"/>
      <scheme val="minor"/>
    </font>
    <font>
      <b/>
      <sz val="12"/>
      <color theme="0"/>
      <name val="Calibri"/>
      <family val="2"/>
      <scheme val="minor"/>
    </font>
    <font>
      <b/>
      <sz val="14"/>
      <color theme="0"/>
      <name val="Calibri"/>
      <family val="2"/>
      <scheme val="minor"/>
    </font>
    <font>
      <b/>
      <sz val="20"/>
      <color theme="1"/>
      <name val="Calibri"/>
      <family val="2"/>
      <scheme val="minor"/>
    </font>
    <font>
      <b/>
      <sz val="20"/>
      <color theme="0" tint="-4.9989318521683403E-2"/>
      <name val="Calibri"/>
      <family val="2"/>
      <scheme val="minor"/>
    </font>
    <font>
      <b/>
      <sz val="20"/>
      <color theme="0"/>
      <name val="Calibri"/>
      <family val="2"/>
      <scheme val="minor"/>
    </font>
    <font>
      <b/>
      <sz val="16"/>
      <name val="Calibri"/>
      <family val="2"/>
      <scheme val="minor"/>
    </font>
    <font>
      <b/>
      <sz val="13"/>
      <name val="Calibri"/>
      <family val="2"/>
      <scheme val="minor"/>
    </font>
    <font>
      <b/>
      <sz val="14"/>
      <name val="Calibri"/>
      <family val="2"/>
      <scheme val="minor"/>
    </font>
    <font>
      <b/>
      <sz val="14"/>
      <color theme="0"/>
      <name val="Arial Narrow"/>
      <family val="2"/>
    </font>
    <font>
      <sz val="16"/>
      <color theme="1"/>
      <name val="Calibri"/>
      <family val="2"/>
      <scheme val="minor"/>
    </font>
    <font>
      <sz val="9"/>
      <color indexed="81"/>
      <name val="Tahoma"/>
      <family val="2"/>
    </font>
    <font>
      <b/>
      <sz val="9"/>
      <color indexed="81"/>
      <name val="Tahoma"/>
      <family val="2"/>
    </font>
    <font>
      <b/>
      <sz val="10"/>
      <color indexed="81"/>
      <name val="Tahoma"/>
      <family val="2"/>
    </font>
    <font>
      <b/>
      <sz val="12"/>
      <color indexed="81"/>
      <name val="Tahoma"/>
      <family val="2"/>
    </font>
    <font>
      <sz val="13"/>
      <color indexed="81"/>
      <name val="Tahoma"/>
      <family val="2"/>
    </font>
    <font>
      <b/>
      <sz val="13"/>
      <color indexed="81"/>
      <name val="Tahoma"/>
      <family val="2"/>
    </font>
    <font>
      <b/>
      <sz val="11"/>
      <color indexed="81"/>
      <name val="Tahoma"/>
      <family val="2"/>
    </font>
    <font>
      <b/>
      <sz val="9"/>
      <color indexed="81"/>
      <name val="Segoe UI"/>
      <family val="2"/>
    </font>
    <font>
      <sz val="9"/>
      <color indexed="81"/>
      <name val="Segoe UI"/>
      <family val="2"/>
    </font>
    <font>
      <sz val="20"/>
      <color theme="1" tint="0.499984740745262"/>
      <name val="Calibri"/>
      <family val="2"/>
      <scheme val="minor"/>
    </font>
    <font>
      <b/>
      <sz val="12"/>
      <color rgb="FFFFFFFF"/>
      <name val="Calibri"/>
      <family val="2"/>
    </font>
    <font>
      <sz val="10"/>
      <color rgb="FF000000"/>
      <name val="Calibri"/>
      <family val="2"/>
    </font>
    <font>
      <sz val="20"/>
      <name val="Calibri"/>
      <family val="2"/>
      <scheme val="minor"/>
    </font>
    <font>
      <b/>
      <sz val="20"/>
      <name val="Calibri"/>
      <family val="2"/>
      <scheme val="minor"/>
    </font>
    <font>
      <b/>
      <sz val="20"/>
      <color theme="8" tint="-0.499984740745262"/>
      <name val="Calibri"/>
      <family val="2"/>
      <scheme val="minor"/>
    </font>
    <font>
      <b/>
      <sz val="12"/>
      <color rgb="FF000000"/>
      <name val="Calibri"/>
      <family val="2"/>
    </font>
    <font>
      <b/>
      <i/>
      <sz val="11"/>
      <color theme="1"/>
      <name val="Calibri"/>
      <family val="2"/>
      <scheme val="minor"/>
    </font>
    <font>
      <b/>
      <sz val="14"/>
      <color rgb="FFFF0000"/>
      <name val="Calibri"/>
      <family val="2"/>
    </font>
    <font>
      <b/>
      <sz val="14"/>
      <color indexed="21"/>
      <name val="Calibri"/>
      <family val="2"/>
    </font>
    <font>
      <b/>
      <sz val="14"/>
      <color indexed="10"/>
      <name val="Calibri"/>
      <family val="2"/>
    </font>
    <font>
      <b/>
      <sz val="14"/>
      <color indexed="8"/>
      <name val="Calibri"/>
      <family val="2"/>
    </font>
    <font>
      <b/>
      <sz val="14"/>
      <color indexed="57"/>
      <name val="Calibri"/>
      <family val="2"/>
    </font>
    <font>
      <b/>
      <sz val="14"/>
      <color rgb="FF008080"/>
      <name val="Calibri"/>
      <family val="2"/>
      <scheme val="minor"/>
    </font>
    <font>
      <sz val="11"/>
      <color indexed="81"/>
      <name val="Tahoma"/>
      <family val="2"/>
    </font>
    <font>
      <b/>
      <sz val="14"/>
      <color rgb="FF008080"/>
      <name val="Calibri"/>
      <family val="2"/>
    </font>
    <font>
      <sz val="18"/>
      <color theme="1"/>
      <name val="Calibri"/>
      <family val="2"/>
      <scheme val="minor"/>
    </font>
    <font>
      <b/>
      <sz val="20"/>
      <name val="Calibri"/>
      <family val="2"/>
      <charset val="1"/>
    </font>
    <font>
      <sz val="11"/>
      <color rgb="FF000000"/>
      <name val="Calibri"/>
      <family val="2"/>
      <charset val="1"/>
    </font>
    <font>
      <sz val="20"/>
      <name val="Calibri"/>
      <family val="2"/>
      <charset val="1"/>
    </font>
    <font>
      <sz val="20"/>
      <name val="Arial"/>
      <family val="2"/>
    </font>
    <font>
      <b/>
      <sz val="18"/>
      <color rgb="FF000000"/>
      <name val="Calibri"/>
      <family val="2"/>
    </font>
    <font>
      <b/>
      <sz val="20"/>
      <color theme="1"/>
      <name val="Arial"/>
      <family val="2"/>
    </font>
    <font>
      <sz val="20"/>
      <color theme="1"/>
      <name val="Arial"/>
      <family val="2"/>
    </font>
    <font>
      <b/>
      <sz val="14"/>
      <color theme="1"/>
      <name val="Arial Narrow"/>
      <family val="2"/>
    </font>
    <font>
      <sz val="18"/>
      <color theme="0"/>
      <name val="Calibri"/>
      <family val="2"/>
      <scheme val="minor"/>
    </font>
    <font>
      <b/>
      <sz val="14"/>
      <color rgb="FF009999"/>
      <name val="Calibri"/>
      <family val="2"/>
    </font>
    <font>
      <b/>
      <sz val="10"/>
      <color theme="1"/>
      <name val="Calibri"/>
      <family val="2"/>
      <scheme val="minor"/>
    </font>
    <font>
      <b/>
      <sz val="18"/>
      <name val="Calibri"/>
      <family val="2"/>
    </font>
    <font>
      <b/>
      <sz val="14"/>
      <color indexed="81"/>
      <name val="Tahoma"/>
      <family val="2"/>
    </font>
    <font>
      <b/>
      <sz val="16"/>
      <color theme="0"/>
      <name val="Calibri"/>
      <family val="2"/>
    </font>
    <font>
      <sz val="11"/>
      <color rgb="FF000000"/>
      <name val="Calibri"/>
      <family val="2"/>
    </font>
    <font>
      <b/>
      <sz val="18"/>
      <color theme="0"/>
      <name val="Calibri"/>
      <family val="2"/>
      <scheme val="minor"/>
    </font>
    <font>
      <b/>
      <sz val="18"/>
      <color theme="0" tint="-4.9989318521683403E-2"/>
      <name val="Calibri"/>
      <family val="2"/>
      <scheme val="minor"/>
    </font>
    <font>
      <sz val="10"/>
      <color theme="1"/>
      <name val="Arial"/>
      <family val="2"/>
    </font>
    <font>
      <b/>
      <sz val="10"/>
      <color theme="1"/>
      <name val="Arial"/>
      <family val="2"/>
    </font>
    <font>
      <b/>
      <sz val="9"/>
      <color theme="0"/>
      <name val="Arial Narrow"/>
      <family val="2"/>
    </font>
    <font>
      <b/>
      <sz val="14"/>
      <color indexed="81"/>
      <name val="Calibri Light"/>
      <family val="2"/>
      <scheme val="major"/>
    </font>
    <font>
      <sz val="15"/>
      <color theme="1" tint="0.499984740745262"/>
      <name val="Calibri"/>
      <family val="2"/>
      <scheme val="minor"/>
    </font>
    <font>
      <sz val="50"/>
      <color theme="1"/>
      <name val="Calibri"/>
      <family val="2"/>
      <scheme val="minor"/>
    </font>
    <font>
      <b/>
      <sz val="18"/>
      <color indexed="81"/>
      <name val="Segoe UI"/>
      <family val="2"/>
    </font>
    <font>
      <sz val="18"/>
      <color indexed="81"/>
      <name val="Segoe UI"/>
      <family val="2"/>
    </font>
    <font>
      <b/>
      <sz val="14"/>
      <color indexed="81"/>
      <name val="Segoe UI"/>
      <family val="2"/>
    </font>
    <font>
      <b/>
      <sz val="20"/>
      <color indexed="81"/>
      <name val="Segoe UI"/>
      <family val="2"/>
    </font>
    <font>
      <b/>
      <sz val="24"/>
      <color indexed="81"/>
      <name val="Segoe UI"/>
      <family val="2"/>
    </font>
    <font>
      <b/>
      <sz val="16"/>
      <color rgb="FFFF0000"/>
      <name val="Calibri"/>
      <family val="2"/>
      <scheme val="minor"/>
    </font>
    <font>
      <b/>
      <u/>
      <sz val="13"/>
      <name val="Calibri"/>
      <family val="2"/>
      <scheme val="minor"/>
    </font>
    <font>
      <sz val="22"/>
      <color theme="1"/>
      <name val="Calibri"/>
      <family val="2"/>
      <scheme val="minor"/>
    </font>
    <font>
      <b/>
      <sz val="22"/>
      <color theme="0"/>
      <name val="Calibri"/>
      <family val="2"/>
      <scheme val="minor"/>
    </font>
    <font>
      <b/>
      <sz val="16"/>
      <name val="Calibri"/>
      <family val="2"/>
    </font>
    <font>
      <b/>
      <sz val="16"/>
      <color theme="1"/>
      <name val="Calibri"/>
      <family val="2"/>
      <scheme val="minor"/>
    </font>
    <font>
      <sz val="8"/>
      <name val="Calibri"/>
      <family val="2"/>
      <scheme val="minor"/>
    </font>
    <font>
      <sz val="26"/>
      <color theme="1"/>
      <name val="Calibri"/>
      <family val="2"/>
      <scheme val="minor"/>
    </font>
    <font>
      <sz val="11"/>
      <color rgb="FFFF0000"/>
      <name val="Calibri"/>
      <family val="2"/>
      <scheme val="minor"/>
    </font>
    <font>
      <u/>
      <sz val="11"/>
      <color theme="10"/>
      <name val="Calibri"/>
      <family val="2"/>
      <scheme val="minor"/>
    </font>
    <font>
      <b/>
      <i/>
      <sz val="14"/>
      <color theme="1"/>
      <name val="Calibri"/>
      <family val="2"/>
      <scheme val="minor"/>
    </font>
    <font>
      <b/>
      <sz val="15"/>
      <color indexed="81"/>
      <name val="Segoe UI"/>
      <family val="2"/>
    </font>
    <font>
      <b/>
      <sz val="22"/>
      <color theme="1"/>
      <name val="Calibri"/>
      <family val="2"/>
      <scheme val="minor"/>
    </font>
    <font>
      <b/>
      <sz val="22"/>
      <color theme="0" tint="-4.9989318521683403E-2"/>
      <name val="Calibri"/>
      <family val="2"/>
      <scheme val="minor"/>
    </font>
    <font>
      <sz val="18"/>
      <color indexed="81"/>
      <name val="Tahoma"/>
      <family val="2"/>
    </font>
    <font>
      <sz val="20"/>
      <color indexed="81"/>
      <name val="Segoe UI"/>
      <family val="2"/>
    </font>
    <font>
      <sz val="25"/>
      <color indexed="81"/>
      <name val="Segoe UI"/>
      <family val="2"/>
    </font>
    <font>
      <b/>
      <sz val="13"/>
      <color indexed="8"/>
      <name val="Tahoma"/>
      <family val="2"/>
    </font>
    <font>
      <b/>
      <u/>
      <sz val="20"/>
      <name val="Calibri"/>
      <family val="2"/>
      <scheme val="minor"/>
    </font>
    <font>
      <sz val="18"/>
      <name val="Calibri"/>
      <family val="2"/>
      <scheme val="minor"/>
    </font>
    <font>
      <sz val="20"/>
      <color rgb="FF000000"/>
      <name val="Calibri"/>
      <family val="2"/>
      <scheme val="minor"/>
    </font>
    <font>
      <sz val="14"/>
      <name val="Calibri"/>
      <family val="2"/>
      <scheme val="minor"/>
    </font>
    <font>
      <sz val="15"/>
      <color theme="1"/>
      <name val="Calibri"/>
      <family val="2"/>
      <scheme val="minor"/>
    </font>
    <font>
      <sz val="20"/>
      <color rgb="FF4B4B4C"/>
      <name val="Arial"/>
      <family val="2"/>
    </font>
    <font>
      <sz val="22"/>
      <color theme="1" tint="0.499984740745262"/>
      <name val="Calibri"/>
      <family val="2"/>
      <scheme val="minor"/>
    </font>
  </fonts>
  <fills count="28">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EB9C"/>
      </patternFill>
    </fill>
    <fill>
      <patternFill patternType="solid">
        <fgColor rgb="FF008080"/>
        <bgColor indexed="64"/>
      </patternFill>
    </fill>
    <fill>
      <patternFill patternType="solid">
        <fgColor rgb="FFFFFF00"/>
        <bgColor indexed="64"/>
      </patternFill>
    </fill>
    <fill>
      <patternFill patternType="solid">
        <fgColor rgb="FF009999"/>
        <bgColor indexed="64"/>
      </patternFill>
    </fill>
    <fill>
      <patternFill patternType="solid">
        <fgColor rgb="FFBDD1C5"/>
        <bgColor indexed="64"/>
      </patternFill>
    </fill>
    <fill>
      <patternFill patternType="solid">
        <fgColor theme="2" tint="-9.9978637043366805E-2"/>
        <bgColor indexed="64"/>
      </patternFill>
    </fill>
    <fill>
      <patternFill patternType="lightGray">
        <bgColor rgb="FF009999"/>
      </patternFill>
    </fill>
    <fill>
      <patternFill patternType="solid">
        <fgColor rgb="FF008080"/>
        <bgColor rgb="FF000000"/>
      </patternFill>
    </fill>
    <fill>
      <patternFill patternType="solid">
        <fgColor theme="0" tint="-0.14999847407452621"/>
        <bgColor rgb="FF000000"/>
      </patternFill>
    </fill>
    <fill>
      <patternFill patternType="solid">
        <fgColor theme="0"/>
        <bgColor rgb="FFF2F2F2"/>
      </patternFill>
    </fill>
    <fill>
      <patternFill patternType="solid">
        <fgColor rgb="FFFFFFFF"/>
        <bgColor rgb="FFF2F2F2"/>
      </patternFill>
    </fill>
    <fill>
      <patternFill patternType="solid">
        <fgColor rgb="FFFFFADE"/>
        <bgColor indexed="64"/>
      </patternFill>
    </fill>
    <fill>
      <patternFill patternType="solid">
        <fgColor theme="0"/>
        <bgColor rgb="FF000000"/>
      </patternFill>
    </fill>
    <fill>
      <patternFill patternType="solid">
        <fgColor rgb="FF006666"/>
        <bgColor indexed="64"/>
      </patternFill>
    </fill>
    <fill>
      <patternFill patternType="solid">
        <fgColor rgb="FFDFF0F0"/>
        <bgColor indexed="64"/>
      </patternFill>
    </fill>
    <fill>
      <patternFill patternType="solid">
        <fgColor theme="9" tint="-0.249977111117893"/>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92D050"/>
        <bgColor indexed="64"/>
      </patternFill>
    </fill>
  </fills>
  <borders count="53">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indexed="64"/>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bottom/>
      <diagonal/>
    </border>
    <border>
      <left style="thin">
        <color theme="1" tint="0.499984740745262"/>
      </left>
      <right style="thin">
        <color theme="1" tint="0.499984740745262"/>
      </right>
      <top style="thin">
        <color indexed="64"/>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right style="thin">
        <color theme="1" tint="0.499984740745262"/>
      </right>
      <top style="thin">
        <color indexed="64"/>
      </top>
      <bottom style="thin">
        <color indexed="64"/>
      </bottom>
      <diagonal/>
    </border>
    <border>
      <left style="thin">
        <color theme="1" tint="0.499984740745262"/>
      </left>
      <right/>
      <top style="thin">
        <color indexed="64"/>
      </top>
      <bottom style="thin">
        <color indexed="64"/>
      </bottom>
      <diagonal/>
    </border>
    <border>
      <left/>
      <right style="thin">
        <color theme="1" tint="0.499984740745262"/>
      </right>
      <top style="thin">
        <color indexed="64"/>
      </top>
      <bottom style="thin">
        <color theme="1" tint="0.499984740745262"/>
      </bottom>
      <diagonal/>
    </border>
    <border>
      <left/>
      <right style="thin">
        <color theme="1" tint="0.499984740745262"/>
      </right>
      <top style="thin">
        <color theme="1" tint="0.499984740745262"/>
      </top>
      <bottom style="thin">
        <color indexed="64"/>
      </bottom>
      <diagonal/>
    </border>
    <border>
      <left/>
      <right style="medium">
        <color rgb="FFFFFFFF"/>
      </right>
      <top/>
      <bottom/>
      <diagonal/>
    </border>
    <border>
      <left style="thin">
        <color theme="1" tint="0.499984740745262"/>
      </left>
      <right/>
      <top/>
      <bottom/>
      <diagonal/>
    </border>
    <border>
      <left style="thin">
        <color theme="1" tint="0.499984740745262"/>
      </left>
      <right style="thin">
        <color theme="1" tint="0.499984740745262"/>
      </right>
      <top/>
      <bottom style="thin">
        <color indexed="64"/>
      </bottom>
      <diagonal/>
    </border>
    <border>
      <left style="thin">
        <color theme="1" tint="0.499984740745262"/>
      </left>
      <right style="thin">
        <color theme="1" tint="0.499984740745262"/>
      </right>
      <top style="thin">
        <color indexed="64"/>
      </top>
      <bottom/>
      <diagonal/>
    </border>
  </borders>
  <cellStyleXfs count="16">
    <xf numFmtId="0" fontId="0" fillId="0" borderId="0"/>
    <xf numFmtId="0" fontId="10" fillId="7" borderId="0" applyNumberFormat="0" applyBorder="0" applyAlignment="0" applyProtection="0"/>
    <xf numFmtId="0" fontId="11" fillId="8"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62" fillId="0" borderId="0"/>
    <xf numFmtId="44" fontId="2" fillId="0" borderId="0" applyFont="0" applyFill="0" applyBorder="0" applyAlignment="0" applyProtection="0"/>
    <xf numFmtId="43" fontId="2" fillId="0" borderId="0" applyFont="0" applyFill="0" applyBorder="0" applyAlignment="0" applyProtection="0"/>
    <xf numFmtId="0" fontId="75"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62" fillId="0" borderId="0"/>
    <xf numFmtId="0" fontId="2" fillId="0" borderId="0"/>
    <xf numFmtId="0" fontId="98" fillId="0" borderId="0" applyNumberFormat="0" applyFill="0" applyBorder="0" applyAlignment="0" applyProtection="0"/>
  </cellStyleXfs>
  <cellXfs count="649">
    <xf numFmtId="0" fontId="0" fillId="0" borderId="0" xfId="0"/>
    <xf numFmtId="0" fontId="0" fillId="0" borderId="0" xfId="0" applyAlignment="1">
      <alignment wrapText="1"/>
    </xf>
    <xf numFmtId="0" fontId="3" fillId="0" borderId="0" xfId="0" applyFont="1" applyAlignment="1">
      <alignment wrapText="1"/>
    </xf>
    <xf numFmtId="0" fontId="0" fillId="0" borderId="0" xfId="0" applyAlignment="1">
      <alignment vertical="center" wrapText="1"/>
    </xf>
    <xf numFmtId="0" fontId="3" fillId="3" borderId="0" xfId="0" applyFont="1" applyFill="1" applyBorder="1" applyAlignment="1">
      <alignment wrapText="1"/>
    </xf>
    <xf numFmtId="0" fontId="0" fillId="0" borderId="0" xfId="0" applyBorder="1"/>
    <xf numFmtId="0" fontId="3" fillId="6" borderId="0" xfId="0" applyFont="1" applyFill="1"/>
    <xf numFmtId="0" fontId="0" fillId="3" borderId="0" xfId="0" applyFill="1"/>
    <xf numFmtId="0" fontId="0" fillId="0" borderId="0" xfId="0" applyAlignment="1">
      <alignment horizontal="center"/>
    </xf>
    <xf numFmtId="0" fontId="10" fillId="0" borderId="0" xfId="1" applyFill="1"/>
    <xf numFmtId="0" fontId="0" fillId="0" borderId="0" xfId="0" applyFill="1"/>
    <xf numFmtId="0" fontId="5" fillId="0" borderId="0" xfId="0" applyFont="1"/>
    <xf numFmtId="0" fontId="13" fillId="0" borderId="0" xfId="1" applyFont="1" applyFill="1"/>
    <xf numFmtId="0" fontId="5" fillId="0" borderId="0" xfId="0" applyFont="1" applyFill="1"/>
    <xf numFmtId="0" fontId="12" fillId="0" borderId="0" xfId="0" applyFont="1"/>
    <xf numFmtId="0" fontId="14" fillId="0" borderId="0" xfId="0" applyFont="1"/>
    <xf numFmtId="0" fontId="15" fillId="0" borderId="0" xfId="1" applyFont="1" applyFill="1"/>
    <xf numFmtId="0" fontId="16" fillId="0" borderId="0" xfId="2" applyFont="1" applyFill="1"/>
    <xf numFmtId="0" fontId="19" fillId="0" borderId="0" xfId="0" applyFont="1" applyAlignment="1">
      <alignment vertical="center"/>
    </xf>
    <xf numFmtId="0" fontId="19" fillId="0" borderId="0" xfId="0" applyFont="1" applyFill="1" applyAlignment="1">
      <alignment vertical="center"/>
    </xf>
    <xf numFmtId="37" fontId="12" fillId="0" borderId="0" xfId="0" applyNumberFormat="1" applyFont="1" applyAlignment="1">
      <alignment horizontal="center"/>
    </xf>
    <xf numFmtId="0" fontId="4" fillId="0" borderId="0" xfId="0" applyFont="1"/>
    <xf numFmtId="167" fontId="21" fillId="5" borderId="2" xfId="4" applyNumberFormat="1" applyFont="1" applyFill="1" applyBorder="1" applyAlignment="1">
      <alignment horizontal="right" wrapText="1"/>
    </xf>
    <xf numFmtId="0" fontId="22" fillId="0" borderId="0" xfId="0" applyFont="1"/>
    <xf numFmtId="0" fontId="23" fillId="0" borderId="0" xfId="0" applyFont="1"/>
    <xf numFmtId="167" fontId="20" fillId="5" borderId="2" xfId="4" applyNumberFormat="1" applyFont="1" applyFill="1" applyBorder="1" applyAlignment="1">
      <alignment horizontal="right" vertical="center" wrapText="1"/>
    </xf>
    <xf numFmtId="0" fontId="20" fillId="4" borderId="2" xfId="0" applyFont="1" applyFill="1" applyBorder="1" applyAlignment="1">
      <alignment horizontal="left" vertical="center" wrapText="1"/>
    </xf>
    <xf numFmtId="0" fontId="20" fillId="4" borderId="2"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12" fillId="4" borderId="2" xfId="0" applyFont="1" applyFill="1" applyBorder="1" applyAlignment="1">
      <alignment horizontal="left" vertical="center" wrapText="1"/>
    </xf>
    <xf numFmtId="0" fontId="0" fillId="3" borderId="0" xfId="0" applyFill="1" applyAlignment="1">
      <alignment wrapText="1"/>
    </xf>
    <xf numFmtId="0" fontId="3" fillId="0" borderId="0" xfId="0" applyFont="1" applyBorder="1" applyAlignment="1">
      <alignment horizontal="center" vertical="center" wrapText="1"/>
    </xf>
    <xf numFmtId="0" fontId="12" fillId="0" borderId="0" xfId="0" applyFont="1" applyBorder="1"/>
    <xf numFmtId="0" fontId="12" fillId="0" borderId="0" xfId="0" applyFont="1" applyBorder="1" applyAlignment="1">
      <alignment horizontal="center"/>
    </xf>
    <xf numFmtId="0" fontId="12" fillId="3" borderId="0" xfId="0" applyFont="1" applyFill="1"/>
    <xf numFmtId="0" fontId="12" fillId="3" borderId="0" xfId="0" applyFont="1" applyFill="1" applyAlignment="1">
      <alignment horizontal="center"/>
    </xf>
    <xf numFmtId="0" fontId="5" fillId="3" borderId="0" xfId="0" applyFont="1" applyFill="1"/>
    <xf numFmtId="0" fontId="4" fillId="3" borderId="0" xfId="0" applyFont="1" applyFill="1" applyBorder="1" applyAlignment="1">
      <alignment horizontal="center" vertical="center" textRotation="90"/>
    </xf>
    <xf numFmtId="0" fontId="4" fillId="3" borderId="0" xfId="0" applyFont="1" applyFill="1" applyBorder="1" applyAlignment="1">
      <alignment horizontal="center" vertical="center" wrapText="1" readingOrder="1"/>
    </xf>
    <xf numFmtId="0" fontId="5" fillId="3" borderId="0" xfId="0" applyFont="1" applyFill="1" applyBorder="1"/>
    <xf numFmtId="0" fontId="4" fillId="3" borderId="0" xfId="0" applyFont="1" applyFill="1" applyBorder="1" applyAlignment="1">
      <alignment vertical="center" wrapText="1" readingOrder="1"/>
    </xf>
    <xf numFmtId="0" fontId="5" fillId="3" borderId="0" xfId="0" applyFont="1" applyFill="1" applyAlignment="1">
      <alignment wrapText="1"/>
    </xf>
    <xf numFmtId="0" fontId="8" fillId="0" borderId="0" xfId="0" applyFont="1" applyAlignment="1">
      <alignment wrapText="1"/>
    </xf>
    <xf numFmtId="166" fontId="8" fillId="0" borderId="0" xfId="0" applyNumberFormat="1" applyFont="1" applyAlignment="1">
      <alignment wrapText="1"/>
    </xf>
    <xf numFmtId="0" fontId="3" fillId="3" borderId="0" xfId="0" applyFont="1" applyFill="1"/>
    <xf numFmtId="0" fontId="30" fillId="3" borderId="0" xfId="0" applyFont="1" applyFill="1" applyBorder="1" applyAlignment="1">
      <alignment horizontal="left" wrapText="1"/>
    </xf>
    <xf numFmtId="0" fontId="34" fillId="3" borderId="2" xfId="0" applyFont="1" applyFill="1" applyBorder="1" applyAlignment="1" applyProtection="1">
      <alignment horizontal="center" vertical="center" wrapText="1"/>
      <protection locked="0"/>
    </xf>
    <xf numFmtId="0" fontId="34" fillId="3" borderId="2" xfId="0" applyFont="1" applyFill="1" applyBorder="1" applyAlignment="1" applyProtection="1">
      <alignment vertical="center" wrapText="1"/>
      <protection locked="0"/>
    </xf>
    <xf numFmtId="0" fontId="34" fillId="3" borderId="14" xfId="0" applyFont="1" applyFill="1" applyBorder="1" applyAlignment="1" applyProtection="1">
      <alignment horizontal="left" vertical="center" wrapText="1"/>
      <protection locked="0"/>
    </xf>
    <xf numFmtId="41" fontId="4" fillId="4" borderId="2" xfId="0" applyNumberFormat="1" applyFont="1" applyFill="1" applyBorder="1" applyAlignment="1">
      <alignment vertical="center" wrapText="1"/>
    </xf>
    <xf numFmtId="165" fontId="4" fillId="4" borderId="2" xfId="0" applyNumberFormat="1" applyFont="1" applyFill="1" applyBorder="1" applyAlignment="1">
      <alignment vertical="center" wrapText="1"/>
    </xf>
    <xf numFmtId="0" fontId="4" fillId="3" borderId="2" xfId="0" applyFont="1" applyFill="1" applyBorder="1" applyAlignment="1">
      <alignment vertical="center" wrapText="1"/>
    </xf>
    <xf numFmtId="41" fontId="4" fillId="14" borderId="2" xfId="0" applyNumberFormat="1" applyFont="1" applyFill="1" applyBorder="1" applyAlignment="1">
      <alignment vertical="center" wrapText="1"/>
    </xf>
    <xf numFmtId="165" fontId="4" fillId="14" borderId="2" xfId="0" applyNumberFormat="1" applyFont="1" applyFill="1" applyBorder="1" applyAlignment="1">
      <alignment vertical="center" wrapText="1"/>
    </xf>
    <xf numFmtId="165" fontId="4" fillId="3" borderId="2" xfId="0" applyNumberFormat="1" applyFont="1" applyFill="1" applyBorder="1" applyAlignment="1">
      <alignment vertical="center" wrapText="1"/>
    </xf>
    <xf numFmtId="0" fontId="12" fillId="0" borderId="6" xfId="0" applyFont="1" applyBorder="1"/>
    <xf numFmtId="0" fontId="12" fillId="0" borderId="7" xfId="0" applyFont="1" applyBorder="1"/>
    <xf numFmtId="0" fontId="18" fillId="3" borderId="0" xfId="0" applyFont="1" applyFill="1" applyBorder="1" applyAlignment="1">
      <alignment vertical="center"/>
    </xf>
    <xf numFmtId="0" fontId="17" fillId="3" borderId="0" xfId="0" applyFont="1" applyFill="1" applyBorder="1" applyAlignment="1">
      <alignment horizontal="right" vertical="center"/>
    </xf>
    <xf numFmtId="43" fontId="21" fillId="3" borderId="0" xfId="0" applyNumberFormat="1" applyFont="1" applyFill="1" applyBorder="1" applyAlignment="1">
      <alignment horizontal="right" wrapText="1"/>
    </xf>
    <xf numFmtId="0" fontId="0" fillId="0" borderId="0" xfId="0" applyBorder="1" applyAlignment="1">
      <alignment horizontal="center"/>
    </xf>
    <xf numFmtId="0" fontId="8" fillId="3" borderId="2" xfId="0" applyFont="1" applyFill="1" applyBorder="1" applyAlignment="1" applyProtection="1">
      <alignment vertical="center" wrapText="1"/>
      <protection locked="0"/>
    </xf>
    <xf numFmtId="166" fontId="8" fillId="4" borderId="2" xfId="0" applyNumberFormat="1" applyFont="1" applyFill="1" applyBorder="1" applyAlignment="1">
      <alignment vertical="center" wrapText="1"/>
    </xf>
    <xf numFmtId="0" fontId="28" fillId="3" borderId="6" xfId="0" applyFont="1" applyFill="1" applyBorder="1" applyAlignment="1">
      <alignment horizontal="left" vertical="center" wrapText="1"/>
    </xf>
    <xf numFmtId="0" fontId="28" fillId="3" borderId="0" xfId="0" applyFont="1" applyFill="1" applyBorder="1" applyAlignment="1">
      <alignment horizontal="left" vertical="center" wrapText="1"/>
    </xf>
    <xf numFmtId="41" fontId="25" fillId="14" borderId="2" xfId="0" applyNumberFormat="1" applyFont="1" applyFill="1" applyBorder="1" applyAlignment="1">
      <alignment vertical="center" wrapText="1"/>
    </xf>
    <xf numFmtId="165" fontId="25" fillId="14" borderId="2" xfId="0" applyNumberFormat="1" applyFont="1" applyFill="1" applyBorder="1" applyAlignment="1">
      <alignment vertical="center" wrapText="1"/>
    </xf>
    <xf numFmtId="0" fontId="3" fillId="0" borderId="0" xfId="0" applyFont="1" applyBorder="1" applyAlignment="1">
      <alignment horizontal="center" vertical="center" wrapText="1"/>
    </xf>
    <xf numFmtId="170" fontId="8" fillId="3" borderId="2" xfId="4" applyNumberFormat="1" applyFont="1" applyFill="1" applyBorder="1" applyAlignment="1" applyProtection="1">
      <alignment vertical="center" wrapText="1"/>
      <protection locked="0"/>
    </xf>
    <xf numFmtId="170" fontId="8" fillId="4" borderId="2" xfId="4" applyNumberFormat="1" applyFont="1" applyFill="1" applyBorder="1" applyAlignment="1">
      <alignment vertical="center" wrapText="1"/>
    </xf>
    <xf numFmtId="49" fontId="8" fillId="3" borderId="1" xfId="0" applyNumberFormat="1" applyFont="1" applyFill="1" applyBorder="1" applyAlignment="1">
      <alignment wrapText="1"/>
    </xf>
    <xf numFmtId="0" fontId="29" fillId="9" borderId="2" xfId="0" applyFont="1" applyFill="1" applyBorder="1" applyAlignment="1">
      <alignment horizontal="center" vertical="center" wrapText="1"/>
    </xf>
    <xf numFmtId="0" fontId="29" fillId="9" borderId="2" xfId="0" applyFont="1" applyFill="1" applyBorder="1" applyAlignment="1">
      <alignment vertical="center" wrapText="1"/>
    </xf>
    <xf numFmtId="0" fontId="45" fillId="15" borderId="2" xfId="0" applyFont="1" applyFill="1" applyBorder="1" applyAlignment="1">
      <alignment horizontal="center" vertical="center" wrapText="1"/>
    </xf>
    <xf numFmtId="0" fontId="33" fillId="9" borderId="2" xfId="0" applyFont="1" applyFill="1" applyBorder="1" applyAlignment="1">
      <alignment horizontal="center" vertical="center" wrapText="1"/>
    </xf>
    <xf numFmtId="0" fontId="45" fillId="15" borderId="2" xfId="0" applyFont="1" applyFill="1" applyBorder="1" applyAlignment="1">
      <alignment vertical="center" wrapText="1"/>
    </xf>
    <xf numFmtId="0" fontId="45" fillId="15" borderId="2" xfId="0" applyFont="1" applyFill="1" applyBorder="1" applyAlignment="1">
      <alignment vertical="center"/>
    </xf>
    <xf numFmtId="41" fontId="45" fillId="15" borderId="2" xfId="0" applyNumberFormat="1" applyFont="1" applyFill="1" applyBorder="1" applyAlignment="1">
      <alignment vertical="center"/>
    </xf>
    <xf numFmtId="170" fontId="34" fillId="3" borderId="2" xfId="4" applyNumberFormat="1" applyFont="1" applyFill="1" applyBorder="1" applyAlignment="1" applyProtection="1">
      <alignment vertical="center" wrapText="1"/>
      <protection locked="0"/>
    </xf>
    <xf numFmtId="170" fontId="34" fillId="4" borderId="2" xfId="4" applyNumberFormat="1" applyFont="1" applyFill="1" applyBorder="1" applyAlignment="1">
      <alignment vertical="center" wrapText="1"/>
    </xf>
    <xf numFmtId="172" fontId="50" fillId="16" borderId="2" xfId="0" applyNumberFormat="1" applyFont="1" applyFill="1" applyBorder="1" applyAlignment="1">
      <alignment vertical="center" wrapText="1"/>
    </xf>
    <xf numFmtId="169" fontId="8" fillId="3" borderId="2" xfId="0" applyNumberFormat="1" applyFont="1" applyFill="1" applyBorder="1" applyAlignment="1" applyProtection="1">
      <alignment vertical="center" wrapText="1"/>
      <protection locked="0"/>
    </xf>
    <xf numFmtId="166" fontId="8" fillId="4" borderId="2" xfId="0" applyNumberFormat="1" applyFont="1" applyFill="1" applyBorder="1" applyAlignment="1" applyProtection="1">
      <alignment vertical="center" wrapText="1"/>
      <protection locked="0"/>
    </xf>
    <xf numFmtId="0" fontId="0" fillId="0" borderId="16" xfId="0" applyBorder="1"/>
    <xf numFmtId="0" fontId="0" fillId="0" borderId="17" xfId="0" applyBorder="1"/>
    <xf numFmtId="0" fontId="0" fillId="0" borderId="18" xfId="0" applyBorder="1"/>
    <xf numFmtId="0" fontId="0" fillId="0" borderId="6" xfId="0" applyBorder="1"/>
    <xf numFmtId="0" fontId="0" fillId="0" borderId="7" xfId="0" applyBorder="1"/>
    <xf numFmtId="41" fontId="4" fillId="6" borderId="2" xfId="0" applyNumberFormat="1" applyFont="1" applyFill="1" applyBorder="1" applyAlignment="1">
      <alignment vertical="center" wrapText="1"/>
    </xf>
    <xf numFmtId="41" fontId="26" fillId="9" borderId="2" xfId="0" applyNumberFormat="1" applyFont="1" applyFill="1" applyBorder="1" applyAlignment="1">
      <alignment horizontal="center" vertical="center" wrapText="1"/>
    </xf>
    <xf numFmtId="41" fontId="9" fillId="3" borderId="0" xfId="0" applyNumberFormat="1" applyFont="1" applyFill="1" applyBorder="1" applyAlignment="1">
      <alignment horizontal="center" vertical="center" wrapText="1"/>
    </xf>
    <xf numFmtId="171" fontId="9" fillId="4" borderId="2" xfId="4" applyNumberFormat="1" applyFont="1" applyFill="1" applyBorder="1" applyAlignment="1">
      <alignment horizontal="left" vertical="center" wrapText="1"/>
    </xf>
    <xf numFmtId="168" fontId="9" fillId="3" borderId="0" xfId="3" applyNumberFormat="1" applyFont="1" applyFill="1" applyBorder="1" applyAlignment="1">
      <alignment horizontal="left" vertical="center" wrapText="1"/>
    </xf>
    <xf numFmtId="41" fontId="9" fillId="3" borderId="2" xfId="0" applyNumberFormat="1" applyFont="1" applyFill="1" applyBorder="1" applyAlignment="1">
      <alignment horizontal="right" vertical="center" wrapText="1"/>
    </xf>
    <xf numFmtId="171" fontId="9" fillId="4" borderId="2" xfId="4" applyNumberFormat="1" applyFont="1" applyFill="1" applyBorder="1" applyAlignment="1">
      <alignment horizontal="right" vertical="center" wrapText="1"/>
    </xf>
    <xf numFmtId="171" fontId="26" fillId="9" borderId="2" xfId="4" applyNumberFormat="1" applyFont="1" applyFill="1" applyBorder="1" applyAlignment="1">
      <alignment horizontal="left" vertical="center" wrapText="1"/>
    </xf>
    <xf numFmtId="169" fontId="9" fillId="3" borderId="0" xfId="4" applyNumberFormat="1" applyFont="1" applyFill="1" applyBorder="1" applyAlignment="1">
      <alignment horizontal="right" vertical="center" wrapText="1"/>
    </xf>
    <xf numFmtId="164" fontId="9" fillId="3" borderId="0" xfId="4" applyFont="1" applyFill="1" applyBorder="1" applyAlignment="1">
      <alignment horizontal="left" vertical="center" wrapText="1"/>
    </xf>
    <xf numFmtId="169" fontId="9" fillId="3" borderId="0" xfId="4" applyNumberFormat="1" applyFont="1" applyFill="1" applyBorder="1" applyAlignment="1">
      <alignment horizontal="left" vertical="center" wrapText="1"/>
    </xf>
    <xf numFmtId="0" fontId="9" fillId="3" borderId="0" xfId="0" applyFont="1" applyFill="1" applyBorder="1" applyAlignment="1">
      <alignment vertical="center" wrapText="1"/>
    </xf>
    <xf numFmtId="41" fontId="9" fillId="3" borderId="0" xfId="0" applyNumberFormat="1" applyFont="1" applyFill="1" applyBorder="1" applyAlignment="1">
      <alignment horizontal="left" vertical="center" wrapText="1"/>
    </xf>
    <xf numFmtId="0" fontId="9" fillId="3" borderId="0" xfId="0" applyFont="1" applyFill="1" applyBorder="1" applyAlignment="1">
      <alignment horizontal="center" vertical="center" textRotation="90"/>
    </xf>
    <xf numFmtId="0" fontId="9" fillId="3" borderId="0" xfId="0" applyFont="1" applyFill="1" applyBorder="1" applyAlignment="1">
      <alignment horizontal="left" vertical="center" wrapText="1"/>
    </xf>
    <xf numFmtId="41" fontId="9" fillId="3" borderId="2" xfId="0" applyNumberFormat="1" applyFont="1" applyFill="1" applyBorder="1" applyAlignment="1">
      <alignment horizontal="center" vertical="center" wrapText="1"/>
    </xf>
    <xf numFmtId="41" fontId="9" fillId="4" borderId="2" xfId="0" applyNumberFormat="1" applyFont="1" applyFill="1" applyBorder="1" applyAlignment="1">
      <alignment horizontal="right" vertical="center" wrapText="1"/>
    </xf>
    <xf numFmtId="41" fontId="9" fillId="12" borderId="2" xfId="0" applyNumberFormat="1" applyFont="1" applyFill="1" applyBorder="1" applyAlignment="1">
      <alignment horizontal="center" vertical="center" wrapText="1"/>
    </xf>
    <xf numFmtId="168" fontId="9" fillId="4" borderId="2" xfId="4" applyNumberFormat="1" applyFont="1" applyFill="1" applyBorder="1" applyAlignment="1">
      <alignment horizontal="right" vertical="center" wrapText="1"/>
    </xf>
    <xf numFmtId="168" fontId="9" fillId="4" borderId="2" xfId="3" applyNumberFormat="1" applyFont="1" applyFill="1" applyBorder="1" applyAlignment="1">
      <alignment horizontal="right" vertical="center" wrapText="1"/>
    </xf>
    <xf numFmtId="171" fontId="9" fillId="4" borderId="2" xfId="4" applyNumberFormat="1" applyFont="1" applyFill="1" applyBorder="1" applyAlignment="1" applyProtection="1">
      <alignment horizontal="left" vertical="center" wrapText="1"/>
    </xf>
    <xf numFmtId="0" fontId="33" fillId="9" borderId="2" xfId="0" applyFont="1" applyFill="1" applyBorder="1" applyAlignment="1">
      <alignment horizontal="center" vertical="center" wrapText="1"/>
    </xf>
    <xf numFmtId="0" fontId="60" fillId="0" borderId="0" xfId="0" applyFont="1"/>
    <xf numFmtId="0" fontId="60" fillId="3" borderId="0" xfId="0" applyFont="1" applyFill="1" applyAlignment="1">
      <alignment horizontal="center"/>
    </xf>
    <xf numFmtId="0" fontId="28" fillId="3" borderId="0" xfId="0" applyFont="1" applyFill="1" applyBorder="1" applyAlignment="1">
      <alignment horizontal="center" vertical="center" wrapText="1"/>
    </xf>
    <xf numFmtId="0" fontId="8" fillId="0" borderId="0" xfId="0" applyFont="1"/>
    <xf numFmtId="0" fontId="47" fillId="3" borderId="35" xfId="0" applyFont="1" applyFill="1" applyBorder="1" applyAlignment="1">
      <alignment horizontal="center" wrapText="1"/>
    </xf>
    <xf numFmtId="0" fontId="47" fillId="3" borderId="38" xfId="0" applyFont="1" applyFill="1" applyBorder="1" applyAlignment="1">
      <alignment horizontal="center" vertical="top" wrapText="1"/>
    </xf>
    <xf numFmtId="0" fontId="8" fillId="0" borderId="0" xfId="0" applyFont="1" applyAlignment="1">
      <alignment vertical="center" wrapText="1"/>
    </xf>
    <xf numFmtId="0" fontId="0" fillId="0" borderId="0" xfId="0" applyFont="1" applyAlignment="1">
      <alignment vertical="center" wrapText="1"/>
    </xf>
    <xf numFmtId="0" fontId="66" fillId="0" borderId="0" xfId="0" applyFont="1"/>
    <xf numFmtId="0" fontId="33" fillId="9" borderId="2" xfId="0" applyFont="1" applyFill="1" applyBorder="1" applyAlignment="1">
      <alignment vertical="center"/>
    </xf>
    <xf numFmtId="41" fontId="72" fillId="0" borderId="2" xfId="0" applyNumberFormat="1" applyFont="1" applyFill="1" applyBorder="1" applyAlignment="1">
      <alignment horizontal="right" vertical="center" wrapText="1"/>
    </xf>
    <xf numFmtId="0" fontId="74" fillId="21" borderId="2" xfId="0" applyFont="1" applyFill="1" applyBorder="1" applyAlignment="1">
      <alignment horizontal="center" vertical="center"/>
    </xf>
    <xf numFmtId="0" fontId="34" fillId="22" borderId="2" xfId="0" applyFont="1" applyFill="1" applyBorder="1" applyAlignment="1">
      <alignment horizontal="center" vertical="center"/>
    </xf>
    <xf numFmtId="0" fontId="34" fillId="22" borderId="2" xfId="0" applyFont="1" applyFill="1" applyBorder="1" applyAlignment="1">
      <alignment horizontal="center" vertical="center" wrapText="1"/>
    </xf>
    <xf numFmtId="0" fontId="34" fillId="19" borderId="2" xfId="0" applyFont="1" applyFill="1" applyBorder="1" applyAlignment="1">
      <alignment horizontal="center" vertical="center"/>
    </xf>
    <xf numFmtId="0" fontId="34" fillId="19" borderId="2" xfId="0" applyFont="1" applyFill="1" applyBorder="1" applyAlignment="1">
      <alignment horizontal="center" vertical="center" wrapText="1"/>
    </xf>
    <xf numFmtId="0" fontId="34" fillId="19" borderId="2" xfId="0" quotePrefix="1" applyFont="1" applyFill="1" applyBorder="1" applyAlignment="1">
      <alignment horizontal="center" vertical="center" wrapText="1"/>
    </xf>
    <xf numFmtId="0" fontId="34" fillId="0" borderId="0" xfId="0" applyFont="1"/>
    <xf numFmtId="0" fontId="8" fillId="10" borderId="2" xfId="0" applyFont="1" applyFill="1" applyBorder="1" applyAlignment="1" applyProtection="1">
      <alignment horizontal="center" vertical="center" wrapText="1"/>
      <protection locked="0"/>
    </xf>
    <xf numFmtId="0" fontId="8" fillId="10" borderId="2" xfId="0" applyFont="1" applyFill="1" applyBorder="1" applyAlignment="1" applyProtection="1">
      <alignment vertical="center" wrapText="1"/>
      <protection locked="0"/>
    </xf>
    <xf numFmtId="0" fontId="29" fillId="23" borderId="2" xfId="0" applyFont="1" applyFill="1" applyBorder="1" applyAlignment="1">
      <alignment horizontal="center" vertical="center" wrapText="1"/>
    </xf>
    <xf numFmtId="0" fontId="60" fillId="22" borderId="2" xfId="0" applyFont="1" applyFill="1" applyBorder="1" applyAlignment="1">
      <alignment horizontal="left" vertical="center" wrapText="1"/>
    </xf>
    <xf numFmtId="0" fontId="60" fillId="19" borderId="2" xfId="0" applyFont="1" applyFill="1" applyBorder="1" applyAlignment="1">
      <alignment horizontal="left" vertical="center" wrapText="1"/>
    </xf>
    <xf numFmtId="0" fontId="0" fillId="10" borderId="0" xfId="0" applyFill="1" applyAlignment="1">
      <alignment horizontal="center" vertical="center" wrapText="1"/>
    </xf>
    <xf numFmtId="0" fontId="0" fillId="0" borderId="0" xfId="0"/>
    <xf numFmtId="0" fontId="12" fillId="0" borderId="0" xfId="0" applyFont="1"/>
    <xf numFmtId="0" fontId="33" fillId="9" borderId="42" xfId="0" applyFont="1" applyFill="1" applyBorder="1" applyAlignment="1">
      <alignment vertical="center"/>
    </xf>
    <xf numFmtId="0" fontId="7" fillId="0" borderId="0" xfId="0" applyFont="1" applyBorder="1" applyAlignment="1">
      <alignment horizontal="center"/>
    </xf>
    <xf numFmtId="0" fontId="83" fillId="0" borderId="0" xfId="0" applyFont="1"/>
    <xf numFmtId="0" fontId="45" fillId="15" borderId="2" xfId="0" applyFont="1" applyFill="1" applyBorder="1" applyAlignment="1">
      <alignment horizontal="center" vertical="center" wrapText="1"/>
    </xf>
    <xf numFmtId="41" fontId="25" fillId="9" borderId="2" xfId="0" applyNumberFormat="1" applyFont="1" applyFill="1" applyBorder="1" applyAlignment="1" applyProtection="1">
      <alignment horizontal="center" vertical="center" wrapText="1"/>
    </xf>
    <xf numFmtId="165" fontId="25" fillId="9" borderId="2" xfId="0" applyNumberFormat="1" applyFont="1" applyFill="1" applyBorder="1" applyAlignment="1" applyProtection="1">
      <alignment horizontal="center" vertical="center" wrapText="1"/>
    </xf>
    <xf numFmtId="0" fontId="28" fillId="9" borderId="2" xfId="0" applyFont="1" applyFill="1" applyBorder="1" applyAlignment="1">
      <alignment vertical="center" wrapText="1"/>
    </xf>
    <xf numFmtId="170" fontId="50" fillId="4" borderId="2" xfId="4" applyNumberFormat="1" applyFont="1" applyFill="1" applyBorder="1" applyAlignment="1">
      <alignment horizontal="left" vertical="center" wrapText="1"/>
    </xf>
    <xf numFmtId="0" fontId="45" fillId="15" borderId="2" xfId="0" applyFont="1" applyFill="1" applyBorder="1" applyAlignment="1">
      <alignment horizontal="center" vertical="center" wrapText="1"/>
    </xf>
    <xf numFmtId="0" fontId="47" fillId="3" borderId="34" xfId="0" applyFont="1" applyFill="1" applyBorder="1" applyAlignment="1">
      <alignment vertical="center" wrapText="1"/>
    </xf>
    <xf numFmtId="0" fontId="8" fillId="3" borderId="34" xfId="0" applyFont="1" applyFill="1" applyBorder="1" applyAlignment="1">
      <alignment horizontal="center" vertical="center" wrapText="1"/>
    </xf>
    <xf numFmtId="0" fontId="89" fillId="10" borderId="2" xfId="0" applyFont="1" applyFill="1" applyBorder="1" applyAlignment="1">
      <alignment horizontal="center" vertical="center" wrapText="1"/>
    </xf>
    <xf numFmtId="41" fontId="89" fillId="10" borderId="2" xfId="0" applyNumberFormat="1" applyFont="1" applyFill="1" applyBorder="1" applyAlignment="1">
      <alignment horizontal="center" vertical="center" wrapText="1"/>
    </xf>
    <xf numFmtId="0" fontId="71" fillId="0" borderId="0" xfId="0" applyFont="1" applyFill="1" applyBorder="1" applyAlignment="1">
      <alignment horizontal="left" vertical="top" wrapText="1"/>
    </xf>
    <xf numFmtId="170" fontId="91" fillId="3" borderId="2" xfId="4" applyNumberFormat="1" applyFont="1" applyFill="1" applyBorder="1" applyAlignment="1" applyProtection="1">
      <alignment vertical="center" wrapText="1"/>
      <protection locked="0"/>
    </xf>
    <xf numFmtId="170" fontId="91" fillId="4" borderId="2" xfId="4" applyNumberFormat="1" applyFont="1" applyFill="1" applyBorder="1" applyAlignment="1">
      <alignment vertical="center" wrapText="1"/>
    </xf>
    <xf numFmtId="166" fontId="91" fillId="4" borderId="2" xfId="0" applyNumberFormat="1" applyFont="1" applyFill="1" applyBorder="1" applyAlignment="1">
      <alignment vertical="center" wrapText="1"/>
    </xf>
    <xf numFmtId="169" fontId="91" fillId="3" borderId="2" xfId="0" applyNumberFormat="1" applyFont="1" applyFill="1" applyBorder="1" applyAlignment="1" applyProtection="1">
      <alignment vertical="center" wrapText="1"/>
      <protection locked="0"/>
    </xf>
    <xf numFmtId="166" fontId="91" fillId="4" borderId="2" xfId="0" applyNumberFormat="1" applyFont="1" applyFill="1" applyBorder="1" applyAlignment="1" applyProtection="1">
      <alignment vertical="center" wrapText="1"/>
      <protection locked="0"/>
    </xf>
    <xf numFmtId="0" fontId="91" fillId="3" borderId="2" xfId="0" applyFont="1" applyFill="1" applyBorder="1" applyAlignment="1" applyProtection="1">
      <alignment vertical="center" wrapText="1"/>
      <protection locked="0"/>
    </xf>
    <xf numFmtId="166" fontId="92" fillId="9" borderId="2" xfId="0" applyNumberFormat="1" applyFont="1" applyFill="1" applyBorder="1" applyAlignment="1">
      <alignment horizontal="right" vertical="center" wrapText="1"/>
    </xf>
    <xf numFmtId="3" fontId="92" fillId="9" borderId="2" xfId="0" applyNumberFormat="1" applyFont="1" applyFill="1" applyBorder="1" applyAlignment="1">
      <alignment horizontal="right" wrapText="1"/>
    </xf>
    <xf numFmtId="166" fontId="92" fillId="9" borderId="2" xfId="0" applyNumberFormat="1" applyFont="1" applyFill="1" applyBorder="1" applyAlignment="1">
      <alignment horizontal="right" wrapText="1"/>
    </xf>
    <xf numFmtId="0" fontId="74" fillId="10" borderId="2" xfId="0" applyFont="1" applyFill="1" applyBorder="1" applyAlignment="1">
      <alignment horizontal="center" vertical="center"/>
    </xf>
    <xf numFmtId="0" fontId="93" fillId="10" borderId="2" xfId="0" applyFont="1" applyFill="1" applyBorder="1" applyAlignment="1">
      <alignment horizontal="center" vertical="center"/>
    </xf>
    <xf numFmtId="41" fontId="26" fillId="9" borderId="2" xfId="0" applyNumberFormat="1" applyFont="1" applyFill="1" applyBorder="1" applyAlignment="1">
      <alignment horizontal="center" vertical="center" wrapText="1"/>
    </xf>
    <xf numFmtId="0" fontId="47" fillId="3" borderId="46" xfId="0" applyFont="1" applyFill="1" applyBorder="1" applyAlignment="1">
      <alignment horizontal="center" wrapText="1"/>
    </xf>
    <xf numFmtId="0" fontId="63" fillId="17" borderId="46" xfId="5" applyFont="1" applyFill="1" applyBorder="1" applyAlignment="1">
      <alignment horizontal="center" wrapText="1"/>
    </xf>
    <xf numFmtId="0" fontId="63" fillId="17" borderId="38" xfId="5" applyFont="1" applyFill="1" applyBorder="1" applyAlignment="1">
      <alignment horizontal="center" vertical="top" wrapText="1"/>
    </xf>
    <xf numFmtId="0" fontId="63" fillId="18" borderId="38" xfId="5" applyFont="1" applyFill="1" applyBorder="1" applyAlignment="1">
      <alignment horizontal="center" vertical="top" wrapText="1"/>
    </xf>
    <xf numFmtId="0" fontId="63" fillId="18" borderId="35" xfId="5" applyFont="1" applyFill="1" applyBorder="1" applyAlignment="1">
      <alignment horizontal="center" wrapText="1"/>
    </xf>
    <xf numFmtId="0" fontId="8" fillId="3" borderId="38" xfId="0" applyFont="1" applyFill="1" applyBorder="1" applyAlignment="1">
      <alignment horizontal="center" vertical="top" wrapText="1"/>
    </xf>
    <xf numFmtId="0" fontId="8" fillId="3" borderId="35" xfId="0" applyFont="1" applyFill="1" applyBorder="1" applyAlignment="1">
      <alignment horizontal="center" wrapText="1"/>
    </xf>
    <xf numFmtId="0" fontId="8" fillId="3" borderId="46" xfId="0" applyFont="1" applyFill="1" applyBorder="1" applyAlignment="1">
      <alignment horizontal="center" wrapText="1"/>
    </xf>
    <xf numFmtId="0" fontId="47" fillId="0" borderId="38" xfId="0" applyFont="1" applyBorder="1" applyAlignment="1">
      <alignment horizontal="center" vertical="top" wrapText="1"/>
    </xf>
    <xf numFmtId="0" fontId="47" fillId="0" borderId="46" xfId="0" applyFont="1" applyBorder="1" applyAlignment="1">
      <alignment horizontal="center" wrapText="1"/>
    </xf>
    <xf numFmtId="0" fontId="47" fillId="0" borderId="35" xfId="0" applyFont="1" applyBorder="1" applyAlignment="1">
      <alignment horizontal="center" wrapText="1"/>
    </xf>
    <xf numFmtId="172" fontId="34" fillId="25" borderId="2" xfId="0" applyNumberFormat="1" applyFont="1" applyFill="1" applyBorder="1" applyAlignment="1" applyProtection="1">
      <alignment vertical="center" wrapText="1"/>
      <protection locked="0"/>
    </xf>
    <xf numFmtId="0" fontId="45" fillId="15" borderId="2" xfId="0" applyFont="1" applyFill="1" applyBorder="1" applyAlignment="1">
      <alignment horizontal="center" vertical="center" wrapText="1"/>
    </xf>
    <xf numFmtId="0" fontId="28" fillId="9" borderId="2" xfId="0" applyFont="1" applyFill="1" applyBorder="1" applyAlignment="1">
      <alignment horizontal="center" vertical="center" wrapText="1"/>
    </xf>
    <xf numFmtId="0" fontId="28" fillId="9" borderId="3" xfId="0" applyFont="1" applyFill="1" applyBorder="1" applyAlignment="1">
      <alignment horizontal="center" vertical="center" wrapText="1"/>
    </xf>
    <xf numFmtId="0" fontId="27" fillId="3" borderId="12" xfId="0" applyFont="1" applyFill="1" applyBorder="1" applyAlignment="1">
      <alignment horizontal="left" vertical="center" wrapText="1"/>
    </xf>
    <xf numFmtId="0" fontId="33" fillId="3" borderId="0" xfId="0" applyFont="1" applyFill="1" applyAlignment="1">
      <alignment horizontal="center" vertical="center" wrapText="1"/>
    </xf>
    <xf numFmtId="0" fontId="27" fillId="3" borderId="0" xfId="0" applyFont="1" applyFill="1" applyAlignment="1">
      <alignment wrapText="1"/>
    </xf>
    <xf numFmtId="0" fontId="28" fillId="3" borderId="0" xfId="0" applyFont="1" applyFill="1" applyAlignment="1">
      <alignment horizontal="center" vertical="center" wrapText="1"/>
    </xf>
    <xf numFmtId="0" fontId="27" fillId="3" borderId="20" xfId="0" applyFont="1" applyFill="1" applyBorder="1" applyAlignment="1">
      <alignment horizontal="left" vertical="center" wrapText="1"/>
    </xf>
    <xf numFmtId="0" fontId="28" fillId="3" borderId="15" xfId="0" applyFont="1" applyFill="1" applyBorder="1" applyAlignment="1" applyProtection="1">
      <alignment horizontal="left" vertical="center" wrapText="1"/>
      <protection locked="0"/>
    </xf>
    <xf numFmtId="0" fontId="28" fillId="3" borderId="20" xfId="0" applyFont="1" applyFill="1" applyBorder="1" applyAlignment="1" applyProtection="1">
      <alignment horizontal="left" vertical="center" wrapText="1"/>
      <protection locked="0"/>
    </xf>
    <xf numFmtId="0" fontId="28" fillId="3" borderId="12" xfId="0" applyFont="1" applyFill="1" applyBorder="1" applyAlignment="1" applyProtection="1">
      <alignment horizontal="left" vertical="center" wrapText="1"/>
      <protection locked="0"/>
    </xf>
    <xf numFmtId="0" fontId="0" fillId="3" borderId="0" xfId="0" applyFill="1" applyAlignment="1">
      <alignment vertical="center" wrapText="1"/>
    </xf>
    <xf numFmtId="0" fontId="66" fillId="3" borderId="0" xfId="0" applyFont="1" applyFill="1"/>
    <xf numFmtId="0" fontId="8" fillId="3" borderId="0" xfId="0" applyFont="1" applyFill="1" applyAlignment="1">
      <alignment vertical="center" wrapText="1"/>
    </xf>
    <xf numFmtId="0" fontId="96" fillId="0" borderId="0" xfId="0" applyFont="1" applyAlignment="1">
      <alignment wrapText="1"/>
    </xf>
    <xf numFmtId="0" fontId="71" fillId="0" borderId="29" xfId="0" applyFont="1" applyFill="1" applyBorder="1" applyAlignment="1">
      <alignment horizontal="left" vertical="top" wrapText="1"/>
    </xf>
    <xf numFmtId="0" fontId="97" fillId="0" borderId="0" xfId="0" applyFont="1"/>
    <xf numFmtId="0" fontId="24" fillId="9" borderId="2" xfId="0" applyFont="1" applyFill="1" applyBorder="1" applyAlignment="1">
      <alignment horizontal="center" vertical="center" wrapText="1"/>
    </xf>
    <xf numFmtId="0" fontId="76" fillId="9" borderId="2" xfId="0" applyFont="1" applyFill="1" applyBorder="1" applyAlignment="1">
      <alignment horizontal="center" vertical="center" wrapText="1"/>
    </xf>
    <xf numFmtId="0" fontId="12" fillId="3" borderId="0" xfId="0" applyFont="1" applyFill="1" applyAlignment="1"/>
    <xf numFmtId="169" fontId="12" fillId="3" borderId="0" xfId="4" applyNumberFormat="1" applyFont="1" applyFill="1" applyBorder="1" applyAlignment="1">
      <alignment vertical="center" wrapText="1"/>
    </xf>
    <xf numFmtId="0" fontId="34" fillId="3" borderId="4" xfId="0" applyFont="1" applyFill="1" applyBorder="1" applyAlignment="1" applyProtection="1">
      <alignment vertical="center" wrapText="1"/>
      <protection locked="0"/>
    </xf>
    <xf numFmtId="0" fontId="28" fillId="9" borderId="3" xfId="0" applyFont="1" applyFill="1" applyBorder="1" applyAlignment="1">
      <alignment horizontal="center" vertical="center" wrapText="1"/>
    </xf>
    <xf numFmtId="0" fontId="28" fillId="9" borderId="2" xfId="0" applyFont="1" applyFill="1" applyBorder="1" applyAlignment="1">
      <alignment horizontal="center" vertical="center" wrapText="1"/>
    </xf>
    <xf numFmtId="0" fontId="28" fillId="9" borderId="2" xfId="0" applyFont="1" applyFill="1" applyBorder="1" applyAlignment="1">
      <alignment horizontal="center" vertical="center" wrapText="1"/>
    </xf>
    <xf numFmtId="0" fontId="28" fillId="9" borderId="3" xfId="0" applyFont="1" applyFill="1" applyBorder="1" applyAlignment="1">
      <alignment horizontal="center" vertical="center" wrapText="1"/>
    </xf>
    <xf numFmtId="0" fontId="8" fillId="3" borderId="2" xfId="0" applyFont="1" applyFill="1" applyBorder="1" applyAlignment="1" applyProtection="1">
      <alignment horizontal="center" vertical="center" wrapText="1"/>
      <protection locked="0"/>
    </xf>
    <xf numFmtId="0" fontId="8" fillId="0" borderId="2" xfId="0" applyFont="1" applyFill="1" applyBorder="1" applyAlignment="1" applyProtection="1">
      <alignment vertical="center" wrapText="1"/>
      <protection locked="0"/>
    </xf>
    <xf numFmtId="164" fontId="8" fillId="0" borderId="2" xfId="4" applyNumberFormat="1" applyFont="1" applyFill="1" applyBorder="1" applyAlignment="1" applyProtection="1">
      <alignment vertical="center" wrapText="1"/>
      <protection locked="0"/>
    </xf>
    <xf numFmtId="164" fontId="109" fillId="0" borderId="2" xfId="4" applyNumberFormat="1" applyFont="1" applyFill="1" applyBorder="1" applyAlignment="1">
      <alignment horizontal="right" vertical="center" wrapText="1"/>
    </xf>
    <xf numFmtId="0" fontId="8" fillId="0" borderId="2" xfId="0" applyFont="1" applyFill="1" applyBorder="1" applyAlignment="1" applyProtection="1">
      <alignment horizontal="center" vertical="center" wrapText="1"/>
      <protection locked="0"/>
    </xf>
    <xf numFmtId="3" fontId="8" fillId="3" borderId="2" xfId="0" applyNumberFormat="1" applyFont="1" applyFill="1" applyBorder="1" applyAlignment="1" applyProtection="1">
      <alignment horizontal="center" vertical="center" wrapText="1"/>
      <protection locked="0"/>
    </xf>
    <xf numFmtId="9" fontId="8" fillId="0" borderId="2" xfId="0" applyNumberFormat="1" applyFont="1" applyFill="1" applyBorder="1" applyAlignment="1" applyProtection="1">
      <alignment horizontal="center" vertical="center" wrapText="1"/>
      <protection locked="0"/>
    </xf>
    <xf numFmtId="1" fontId="8" fillId="0" borderId="2" xfId="0" applyNumberFormat="1" applyFont="1" applyFill="1" applyBorder="1" applyAlignment="1" applyProtection="1">
      <alignment horizontal="center" vertical="center" wrapText="1"/>
      <protection locked="0"/>
    </xf>
    <xf numFmtId="1" fontId="8" fillId="3" borderId="2" xfId="0" applyNumberFormat="1" applyFont="1" applyFill="1" applyBorder="1" applyAlignment="1" applyProtection="1">
      <alignment horizontal="center" vertical="center" wrapText="1"/>
      <protection locked="0"/>
    </xf>
    <xf numFmtId="0" fontId="8" fillId="3" borderId="3" xfId="0" applyFont="1" applyFill="1" applyBorder="1" applyAlignment="1" applyProtection="1">
      <alignment horizontal="left" vertical="center" wrapText="1"/>
      <protection locked="0"/>
    </xf>
    <xf numFmtId="164" fontId="8" fillId="3" borderId="2" xfId="4" applyFont="1" applyFill="1" applyBorder="1" applyAlignment="1" applyProtection="1">
      <alignment vertical="center" wrapText="1"/>
      <protection locked="0"/>
    </xf>
    <xf numFmtId="0" fontId="8" fillId="0" borderId="2" xfId="0" applyFont="1" applyBorder="1" applyAlignment="1">
      <alignment vertical="center" wrapText="1"/>
    </xf>
    <xf numFmtId="0" fontId="8" fillId="3" borderId="2" xfId="0" applyFont="1" applyFill="1" applyBorder="1" applyAlignment="1">
      <alignment wrapText="1"/>
    </xf>
    <xf numFmtId="0" fontId="8" fillId="3" borderId="2" xfId="0" applyFont="1" applyFill="1" applyBorder="1" applyAlignment="1" applyProtection="1">
      <alignment horizontal="left" vertical="center" wrapText="1"/>
      <protection locked="0"/>
    </xf>
    <xf numFmtId="0" fontId="8" fillId="0" borderId="0" xfId="0" applyFont="1" applyAlignment="1">
      <alignment horizontal="left" vertical="center" wrapText="1"/>
    </xf>
    <xf numFmtId="0" fontId="28" fillId="9" borderId="2" xfId="0" applyFont="1" applyFill="1" applyBorder="1" applyAlignment="1">
      <alignment horizontal="center" vertical="center" wrapText="1"/>
    </xf>
    <xf numFmtId="0" fontId="28" fillId="9" borderId="3" xfId="0" applyFont="1" applyFill="1" applyBorder="1" applyAlignment="1">
      <alignment horizontal="center" vertical="center" wrapText="1"/>
    </xf>
    <xf numFmtId="170" fontId="34" fillId="3" borderId="0" xfId="4" applyNumberFormat="1" applyFont="1" applyFill="1" applyBorder="1" applyAlignment="1" applyProtection="1">
      <alignment vertical="center" wrapText="1"/>
      <protection locked="0"/>
    </xf>
    <xf numFmtId="3" fontId="8" fillId="3" borderId="40" xfId="0" applyNumberFormat="1" applyFont="1" applyFill="1" applyBorder="1" applyAlignment="1">
      <alignment horizontal="center" vertical="center"/>
    </xf>
    <xf numFmtId="0" fontId="28" fillId="9" borderId="2" xfId="0" applyFont="1" applyFill="1" applyBorder="1" applyAlignment="1">
      <alignment horizontal="center" vertical="center" wrapText="1"/>
    </xf>
    <xf numFmtId="0" fontId="28" fillId="9" borderId="3" xfId="0" applyFont="1" applyFill="1" applyBorder="1" applyAlignment="1">
      <alignment horizontal="center" vertical="center" wrapText="1"/>
    </xf>
    <xf numFmtId="0" fontId="44" fillId="0" borderId="12" xfId="0" applyFont="1" applyBorder="1" applyAlignment="1">
      <alignment horizontal="center"/>
    </xf>
    <xf numFmtId="169" fontId="9" fillId="6" borderId="0" xfId="4" applyNumberFormat="1" applyFont="1" applyFill="1" applyBorder="1" applyAlignment="1">
      <alignment vertical="center" wrapText="1"/>
    </xf>
    <xf numFmtId="0" fontId="45" fillId="15" borderId="42" xfId="0" applyFont="1" applyFill="1" applyBorder="1" applyAlignment="1">
      <alignment horizontal="center" vertical="center" wrapText="1"/>
    </xf>
    <xf numFmtId="169" fontId="9" fillId="3" borderId="0" xfId="4" applyNumberFormat="1" applyFont="1" applyFill="1" applyBorder="1" applyAlignment="1">
      <alignment vertical="center" wrapText="1"/>
    </xf>
    <xf numFmtId="169" fontId="9" fillId="3" borderId="49" xfId="4" applyNumberFormat="1" applyFont="1" applyFill="1" applyBorder="1" applyAlignment="1">
      <alignment vertical="center" wrapText="1"/>
    </xf>
    <xf numFmtId="168" fontId="5" fillId="3" borderId="0" xfId="3" applyNumberFormat="1" applyFont="1" applyFill="1" applyAlignment="1">
      <alignment wrapText="1"/>
    </xf>
    <xf numFmtId="168" fontId="5" fillId="3" borderId="0" xfId="3" applyNumberFormat="1" applyFont="1" applyFill="1"/>
    <xf numFmtId="164" fontId="34" fillId="3" borderId="2" xfId="4" applyFont="1" applyFill="1" applyBorder="1" applyAlignment="1" applyProtection="1">
      <alignment vertical="center" wrapText="1"/>
      <protection locked="0"/>
    </xf>
    <xf numFmtId="164" fontId="34" fillId="4" borderId="2" xfId="4" applyFont="1" applyFill="1" applyBorder="1" applyAlignment="1" applyProtection="1">
      <alignment vertical="center" wrapText="1"/>
      <protection locked="0"/>
    </xf>
    <xf numFmtId="164" fontId="24" fillId="9" borderId="13" xfId="4" applyFont="1" applyFill="1" applyBorder="1" applyAlignment="1">
      <alignment vertical="center" wrapText="1"/>
    </xf>
    <xf numFmtId="164" fontId="91" fillId="3" borderId="2" xfId="4" applyFont="1" applyFill="1" applyBorder="1" applyAlignment="1" applyProtection="1">
      <alignment vertical="center" wrapText="1"/>
      <protection locked="0"/>
    </xf>
    <xf numFmtId="164" fontId="8" fillId="0" borderId="2" xfId="4" applyFont="1" applyFill="1" applyBorder="1" applyAlignment="1" applyProtection="1">
      <alignment vertical="center" wrapText="1"/>
      <protection locked="0"/>
    </xf>
    <xf numFmtId="164" fontId="109" fillId="0" borderId="2" xfId="4" applyFont="1" applyFill="1" applyBorder="1" applyAlignment="1">
      <alignment horizontal="right" vertical="center" wrapText="1"/>
    </xf>
    <xf numFmtId="164" fontId="92" fillId="9" borderId="2" xfId="4" applyFont="1" applyFill="1" applyBorder="1" applyAlignment="1">
      <alignment horizontal="right" wrapText="1"/>
    </xf>
    <xf numFmtId="164" fontId="111" fillId="0" borderId="0" xfId="4" applyFont="1" applyAlignment="1">
      <alignment wrapText="1"/>
    </xf>
    <xf numFmtId="164" fontId="44" fillId="0" borderId="12" xfId="4" applyFont="1" applyBorder="1" applyAlignment="1">
      <alignment horizontal="center"/>
    </xf>
    <xf numFmtId="0" fontId="91" fillId="0" borderId="0" xfId="0" applyFont="1"/>
    <xf numFmtId="0" fontId="91" fillId="26" borderId="0" xfId="0" applyFont="1" applyFill="1"/>
    <xf numFmtId="9" fontId="91" fillId="26" borderId="0" xfId="0" applyNumberFormat="1" applyFont="1" applyFill="1" applyAlignment="1">
      <alignment horizontal="left"/>
    </xf>
    <xf numFmtId="3" fontId="112" fillId="0" borderId="0" xfId="0" applyNumberFormat="1" applyFont="1"/>
    <xf numFmtId="41" fontId="0" fillId="0" borderId="0" xfId="0" applyNumberFormat="1"/>
    <xf numFmtId="9" fontId="91" fillId="10" borderId="0" xfId="3" applyFont="1" applyFill="1"/>
    <xf numFmtId="0" fontId="91" fillId="3" borderId="0" xfId="0" applyFont="1" applyFill="1"/>
    <xf numFmtId="0" fontId="8" fillId="3" borderId="0" xfId="0" applyFont="1" applyFill="1" applyAlignment="1">
      <alignment wrapText="1"/>
    </xf>
    <xf numFmtId="4" fontId="8" fillId="0" borderId="0" xfId="0" applyNumberFormat="1" applyFont="1" applyAlignment="1">
      <alignment vertical="center" wrapText="1"/>
    </xf>
    <xf numFmtId="171" fontId="34" fillId="4" borderId="2" xfId="0" applyNumberFormat="1" applyFont="1" applyFill="1" applyBorder="1" applyAlignment="1">
      <alignment vertical="center" wrapText="1"/>
    </xf>
    <xf numFmtId="0" fontId="82" fillId="0" borderId="0" xfId="0" applyFont="1" applyBorder="1" applyAlignment="1"/>
    <xf numFmtId="4" fontId="82" fillId="0" borderId="0" xfId="0" applyNumberFormat="1" applyFont="1" applyBorder="1" applyAlignment="1"/>
    <xf numFmtId="4" fontId="91" fillId="0" borderId="0" xfId="0" applyNumberFormat="1" applyFont="1" applyAlignment="1">
      <alignment vertical="center" wrapText="1"/>
    </xf>
    <xf numFmtId="4" fontId="0" fillId="3" borderId="0" xfId="0" applyNumberFormat="1" applyFill="1" applyAlignment="1"/>
    <xf numFmtId="4" fontId="0" fillId="3" borderId="0" xfId="0" applyNumberFormat="1" applyFill="1" applyAlignment="1">
      <alignment horizontal="center"/>
    </xf>
    <xf numFmtId="174" fontId="0" fillId="0" borderId="0" xfId="0" applyNumberFormat="1"/>
    <xf numFmtId="174" fontId="6" fillId="10" borderId="2" xfId="0" applyNumberFormat="1" applyFont="1" applyFill="1" applyBorder="1" applyAlignment="1" applyProtection="1">
      <alignment horizontal="center" vertical="center" wrapText="1"/>
    </xf>
    <xf numFmtId="174" fontId="25" fillId="9" borderId="2" xfId="0" applyNumberFormat="1" applyFont="1" applyFill="1" applyBorder="1" applyAlignment="1" applyProtection="1">
      <alignment horizontal="center" vertical="center" wrapText="1"/>
    </xf>
    <xf numFmtId="174" fontId="25" fillId="14" borderId="2" xfId="0" applyNumberFormat="1" applyFont="1" applyFill="1" applyBorder="1" applyAlignment="1">
      <alignment vertical="center" wrapText="1"/>
    </xf>
    <xf numFmtId="174" fontId="4" fillId="4" borderId="2" xfId="0" applyNumberFormat="1" applyFont="1" applyFill="1" applyBorder="1" applyAlignment="1">
      <alignment vertical="center" wrapText="1"/>
    </xf>
    <xf numFmtId="174" fontId="5" fillId="3" borderId="2" xfId="0" applyNumberFormat="1" applyFont="1" applyFill="1" applyBorder="1" applyAlignment="1" applyProtection="1">
      <alignment vertical="center" wrapText="1"/>
      <protection locked="0"/>
    </xf>
    <xf numFmtId="174" fontId="5" fillId="27" borderId="2" xfId="0" applyNumberFormat="1" applyFont="1" applyFill="1" applyBorder="1" applyAlignment="1" applyProtection="1">
      <alignment vertical="center" wrapText="1"/>
      <protection locked="0"/>
    </xf>
    <xf numFmtId="174" fontId="4" fillId="4" borderId="2" xfId="0" applyNumberFormat="1" applyFont="1" applyFill="1" applyBorder="1" applyAlignment="1" applyProtection="1">
      <alignment vertical="center" wrapText="1"/>
      <protection locked="0"/>
    </xf>
    <xf numFmtId="174" fontId="5" fillId="3" borderId="2" xfId="0" applyNumberFormat="1" applyFont="1" applyFill="1" applyBorder="1" applyAlignment="1" applyProtection="1">
      <alignment vertical="center"/>
      <protection locked="0"/>
    </xf>
    <xf numFmtId="174" fontId="4" fillId="3" borderId="2" xfId="0" applyNumberFormat="1" applyFont="1" applyFill="1" applyBorder="1" applyAlignment="1" applyProtection="1">
      <alignment vertical="center"/>
      <protection locked="0"/>
    </xf>
    <xf numFmtId="174" fontId="4" fillId="3" borderId="2" xfId="0" applyNumberFormat="1" applyFont="1" applyFill="1" applyBorder="1" applyAlignment="1" applyProtection="1">
      <alignment vertical="center" wrapText="1"/>
      <protection locked="0"/>
    </xf>
    <xf numFmtId="174" fontId="4" fillId="14" borderId="2" xfId="0" applyNumberFormat="1" applyFont="1" applyFill="1" applyBorder="1" applyAlignment="1">
      <alignment vertical="center" wrapText="1"/>
    </xf>
    <xf numFmtId="174" fontId="4" fillId="4" borderId="2" xfId="0" applyNumberFormat="1" applyFont="1" applyFill="1" applyBorder="1" applyAlignment="1" applyProtection="1">
      <alignment vertical="center"/>
      <protection locked="0"/>
    </xf>
    <xf numFmtId="174" fontId="4" fillId="3" borderId="2" xfId="0" applyNumberFormat="1" applyFont="1" applyFill="1" applyBorder="1" applyAlignment="1">
      <alignment vertical="center" wrapText="1"/>
    </xf>
    <xf numFmtId="174" fontId="71" fillId="0" borderId="29" xfId="0" applyNumberFormat="1" applyFont="1" applyFill="1" applyBorder="1" applyAlignment="1">
      <alignment horizontal="left" vertical="top" wrapText="1"/>
    </xf>
    <xf numFmtId="174" fontId="45" fillId="15" borderId="2" xfId="0" applyNumberFormat="1" applyFont="1" applyFill="1" applyBorder="1" applyAlignment="1">
      <alignment horizontal="center" vertical="center" wrapText="1"/>
    </xf>
    <xf numFmtId="174" fontId="4" fillId="6" borderId="2" xfId="0" applyNumberFormat="1" applyFont="1" applyFill="1" applyBorder="1" applyAlignment="1">
      <alignment vertical="center" wrapText="1"/>
    </xf>
    <xf numFmtId="174" fontId="45" fillId="15" borderId="2" xfId="0" applyNumberFormat="1" applyFont="1" applyFill="1" applyBorder="1" applyAlignment="1">
      <alignment vertical="center"/>
    </xf>
    <xf numFmtId="174" fontId="72" fillId="0" borderId="2" xfId="0" applyNumberFormat="1" applyFont="1" applyFill="1" applyBorder="1" applyAlignment="1">
      <alignment horizontal="right" vertical="center" wrapText="1"/>
    </xf>
    <xf numFmtId="174" fontId="45" fillId="20" borderId="0" xfId="0" applyNumberFormat="1" applyFont="1" applyFill="1" applyBorder="1" applyAlignment="1">
      <alignment horizontal="center" vertical="center" wrapText="1"/>
    </xf>
    <xf numFmtId="174" fontId="72" fillId="3" borderId="0" xfId="0" applyNumberFormat="1" applyFont="1" applyFill="1" applyBorder="1" applyAlignment="1">
      <alignment horizontal="right" vertical="center" wrapText="1"/>
    </xf>
    <xf numFmtId="174" fontId="5" fillId="10" borderId="2" xfId="0" applyNumberFormat="1" applyFont="1" applyFill="1" applyBorder="1" applyAlignment="1" applyProtection="1">
      <alignment vertical="center" wrapText="1"/>
      <protection locked="0"/>
    </xf>
    <xf numFmtId="174" fontId="4" fillId="10" borderId="2" xfId="0" applyNumberFormat="1" applyFont="1" applyFill="1" applyBorder="1" applyAlignment="1" applyProtection="1">
      <alignment vertical="center" wrapText="1"/>
      <protection locked="0"/>
    </xf>
    <xf numFmtId="174" fontId="72" fillId="10" borderId="2" xfId="0" applyNumberFormat="1" applyFont="1" applyFill="1" applyBorder="1" applyAlignment="1">
      <alignment horizontal="right" vertical="center" wrapText="1"/>
    </xf>
    <xf numFmtId="170" fontId="72" fillId="3" borderId="0" xfId="4" applyNumberFormat="1" applyFont="1" applyFill="1" applyBorder="1" applyAlignment="1">
      <alignment horizontal="right" vertical="center" wrapText="1"/>
    </xf>
    <xf numFmtId="174" fontId="5" fillId="10" borderId="2" xfId="0" applyNumberFormat="1" applyFont="1" applyFill="1" applyBorder="1" applyAlignment="1" applyProtection="1">
      <alignment vertical="center"/>
      <protection locked="0"/>
    </xf>
    <xf numFmtId="174" fontId="5" fillId="27" borderId="2" xfId="0" applyNumberFormat="1" applyFont="1" applyFill="1" applyBorder="1" applyAlignment="1" applyProtection="1">
      <alignment vertical="center"/>
      <protection locked="0"/>
    </xf>
    <xf numFmtId="174" fontId="4" fillId="27" borderId="2" xfId="0" applyNumberFormat="1" applyFont="1" applyFill="1" applyBorder="1" applyAlignment="1" applyProtection="1">
      <alignment vertical="center"/>
      <protection locked="0"/>
    </xf>
    <xf numFmtId="4" fontId="9" fillId="3" borderId="0" xfId="3" applyNumberFormat="1" applyFont="1" applyFill="1" applyBorder="1" applyAlignment="1">
      <alignment horizontal="left" vertical="center" wrapText="1"/>
    </xf>
    <xf numFmtId="164" fontId="9" fillId="4" borderId="2" xfId="4" applyNumberFormat="1" applyFont="1" applyFill="1" applyBorder="1" applyAlignment="1" applyProtection="1">
      <alignment horizontal="left" vertical="center" wrapText="1"/>
    </xf>
    <xf numFmtId="164" fontId="26" fillId="9" borderId="2" xfId="4" applyNumberFormat="1" applyFont="1" applyFill="1" applyBorder="1" applyAlignment="1">
      <alignment horizontal="left" vertical="center" wrapText="1"/>
    </xf>
    <xf numFmtId="164" fontId="9" fillId="4" borderId="2" xfId="4" applyNumberFormat="1" applyFont="1" applyFill="1" applyBorder="1" applyAlignment="1">
      <alignment horizontal="left" vertical="center" wrapText="1"/>
    </xf>
    <xf numFmtId="43" fontId="9" fillId="3" borderId="2" xfId="4" applyNumberFormat="1" applyFont="1" applyFill="1" applyBorder="1" applyAlignment="1">
      <alignment horizontal="right" vertical="center" wrapText="1"/>
    </xf>
    <xf numFmtId="43" fontId="9" fillId="3" borderId="0" xfId="4" applyNumberFormat="1" applyFont="1" applyFill="1" applyBorder="1" applyAlignment="1">
      <alignment horizontal="left" vertical="center" wrapText="1"/>
    </xf>
    <xf numFmtId="43" fontId="12" fillId="3" borderId="0" xfId="4" applyNumberFormat="1" applyFont="1" applyFill="1" applyBorder="1" applyAlignment="1">
      <alignment vertical="center" wrapText="1"/>
    </xf>
    <xf numFmtId="164" fontId="9" fillId="3" borderId="2" xfId="4" applyNumberFormat="1" applyFont="1" applyFill="1" applyBorder="1" applyAlignment="1">
      <alignment horizontal="right" vertical="center" wrapText="1"/>
    </xf>
    <xf numFmtId="174" fontId="9" fillId="3" borderId="2" xfId="0" applyNumberFormat="1" applyFont="1" applyFill="1" applyBorder="1" applyAlignment="1">
      <alignment horizontal="right" vertical="center" wrapText="1"/>
    </xf>
    <xf numFmtId="174" fontId="9" fillId="13" borderId="2" xfId="0" applyNumberFormat="1" applyFont="1" applyFill="1" applyBorder="1" applyAlignment="1">
      <alignment horizontal="right" vertical="center" wrapText="1"/>
    </xf>
    <xf numFmtId="174" fontId="9" fillId="3" borderId="2" xfId="0" applyNumberFormat="1" applyFont="1" applyFill="1" applyBorder="1" applyAlignment="1">
      <alignment horizontal="left" vertical="center" wrapText="1"/>
    </xf>
    <xf numFmtId="174" fontId="9" fillId="4" borderId="2" xfId="0" applyNumberFormat="1" applyFont="1" applyFill="1" applyBorder="1" applyAlignment="1">
      <alignment horizontal="left" vertical="center" wrapText="1"/>
    </xf>
    <xf numFmtId="4" fontId="5" fillId="3" borderId="0" xfId="0" applyNumberFormat="1" applyFont="1" applyFill="1"/>
    <xf numFmtId="172" fontId="0" fillId="3" borderId="0" xfId="0" applyNumberFormat="1" applyFill="1" applyAlignment="1">
      <alignment wrapText="1"/>
    </xf>
    <xf numFmtId="172" fontId="5" fillId="3" borderId="0" xfId="0" applyNumberFormat="1" applyFont="1" applyFill="1" applyAlignment="1">
      <alignment wrapText="1"/>
    </xf>
    <xf numFmtId="174" fontId="20" fillId="4" borderId="2" xfId="4" applyNumberFormat="1" applyFont="1" applyFill="1" applyBorder="1" applyAlignment="1">
      <alignment horizontal="right" vertical="center" wrapText="1"/>
    </xf>
    <xf numFmtId="174" fontId="20" fillId="3" borderId="0" xfId="0" applyNumberFormat="1" applyFont="1" applyFill="1" applyBorder="1" applyAlignment="1">
      <alignment horizontal="right" wrapText="1"/>
    </xf>
    <xf numFmtId="174" fontId="20" fillId="3" borderId="2" xfId="7" applyNumberFormat="1" applyFont="1" applyFill="1" applyBorder="1" applyAlignment="1">
      <alignment horizontal="right" vertical="center" wrapText="1"/>
    </xf>
    <xf numFmtId="174" fontId="20" fillId="0" borderId="2" xfId="4" applyNumberFormat="1" applyFont="1" applyFill="1" applyBorder="1" applyAlignment="1">
      <alignment horizontal="right" vertical="center" wrapText="1"/>
    </xf>
    <xf numFmtId="174" fontId="20" fillId="5" borderId="2" xfId="4" applyNumberFormat="1" applyFont="1" applyFill="1" applyBorder="1" applyAlignment="1">
      <alignment horizontal="right" vertical="center" wrapText="1"/>
    </xf>
    <xf numFmtId="174" fontId="110" fillId="3" borderId="2" xfId="7" applyNumberFormat="1" applyFont="1" applyFill="1" applyBorder="1" applyAlignment="1">
      <alignment horizontal="right" vertical="center" wrapText="1"/>
    </xf>
    <xf numFmtId="174" fontId="21" fillId="5" borderId="2" xfId="0" applyNumberFormat="1" applyFont="1" applyFill="1" applyBorder="1" applyAlignment="1">
      <alignment horizontal="right" wrapText="1"/>
    </xf>
    <xf numFmtId="174" fontId="21" fillId="3" borderId="0" xfId="0" applyNumberFormat="1" applyFont="1" applyFill="1" applyBorder="1" applyAlignment="1">
      <alignment horizontal="right" wrapText="1"/>
    </xf>
    <xf numFmtId="174" fontId="21" fillId="5" borderId="2" xfId="4" applyNumberFormat="1" applyFont="1" applyFill="1" applyBorder="1" applyAlignment="1">
      <alignment horizontal="right" wrapText="1"/>
    </xf>
    <xf numFmtId="173" fontId="12" fillId="0" borderId="0" xfId="0" applyNumberFormat="1" applyFont="1"/>
    <xf numFmtId="164" fontId="8" fillId="0" borderId="0" xfId="4" applyFont="1" applyAlignment="1">
      <alignment wrapText="1"/>
    </xf>
    <xf numFmtId="0" fontId="44" fillId="0" borderId="12" xfId="0" applyFont="1" applyBorder="1" applyAlignment="1"/>
    <xf numFmtId="0" fontId="91" fillId="0" borderId="0" xfId="0" applyFont="1" applyAlignment="1">
      <alignment wrapText="1"/>
    </xf>
    <xf numFmtId="0" fontId="91" fillId="3" borderId="0" xfId="0" applyFont="1" applyFill="1" applyAlignment="1">
      <alignment wrapText="1"/>
    </xf>
    <xf numFmtId="164" fontId="91" fillId="0" borderId="0" xfId="4" applyFont="1" applyAlignment="1">
      <alignment wrapText="1"/>
    </xf>
    <xf numFmtId="0" fontId="27" fillId="0" borderId="0" xfId="0" applyFont="1" applyAlignment="1">
      <alignment wrapText="1"/>
    </xf>
    <xf numFmtId="0" fontId="91" fillId="24" borderId="0" xfId="0" applyFont="1" applyFill="1" applyAlignment="1">
      <alignment wrapText="1"/>
    </xf>
    <xf numFmtId="164" fontId="91" fillId="3" borderId="2" xfId="4" applyNumberFormat="1" applyFont="1" applyFill="1" applyBorder="1" applyAlignment="1" applyProtection="1">
      <alignment vertical="center" wrapText="1"/>
      <protection locked="0"/>
    </xf>
    <xf numFmtId="164" fontId="92" fillId="9" borderId="2" xfId="4" applyNumberFormat="1" applyFont="1" applyFill="1" applyBorder="1" applyAlignment="1">
      <alignment horizontal="right" wrapText="1"/>
    </xf>
    <xf numFmtId="4" fontId="91" fillId="3" borderId="0" xfId="0" applyNumberFormat="1" applyFont="1" applyFill="1" applyAlignment="1">
      <alignment vertical="center" wrapText="1"/>
    </xf>
    <xf numFmtId="164" fontId="8" fillId="3" borderId="0" xfId="4" applyFont="1" applyFill="1" applyAlignment="1">
      <alignment wrapText="1"/>
    </xf>
    <xf numFmtId="164" fontId="111" fillId="3" borderId="0" xfId="4" applyFont="1" applyFill="1" applyAlignment="1">
      <alignment wrapText="1"/>
    </xf>
    <xf numFmtId="164" fontId="91" fillId="3" borderId="0" xfId="4" applyFont="1" applyFill="1" applyAlignment="1">
      <alignment wrapText="1"/>
    </xf>
    <xf numFmtId="164" fontId="47" fillId="3" borderId="12" xfId="4" applyFont="1" applyFill="1" applyBorder="1" applyAlignment="1">
      <alignment horizontal="center"/>
    </xf>
    <xf numFmtId="174" fontId="20" fillId="3" borderId="2" xfId="4" applyNumberFormat="1" applyFont="1" applyFill="1" applyBorder="1" applyAlignment="1">
      <alignment horizontal="right" vertical="center" wrapText="1"/>
    </xf>
    <xf numFmtId="4" fontId="9" fillId="3" borderId="0" xfId="4" applyNumberFormat="1" applyFont="1" applyFill="1" applyBorder="1" applyAlignment="1">
      <alignment horizontal="center" vertical="center" wrapText="1"/>
    </xf>
    <xf numFmtId="43" fontId="0" fillId="0" borderId="0" xfId="0" applyNumberFormat="1" applyAlignment="1">
      <alignment vertical="center" wrapText="1"/>
    </xf>
    <xf numFmtId="4" fontId="0" fillId="0" borderId="0" xfId="0" applyNumberFormat="1" applyAlignment="1">
      <alignment vertical="center" wrapText="1"/>
    </xf>
    <xf numFmtId="165" fontId="91" fillId="10" borderId="0" xfId="0" applyNumberFormat="1" applyFont="1" applyFill="1"/>
    <xf numFmtId="165" fontId="0" fillId="0" borderId="0" xfId="0" applyNumberFormat="1"/>
    <xf numFmtId="2" fontId="65" fillId="10" borderId="2" xfId="4" applyNumberFormat="1" applyFont="1" applyFill="1" applyBorder="1" applyAlignment="1">
      <alignment horizontal="right" vertical="center" wrapText="1"/>
    </xf>
    <xf numFmtId="2" fontId="65" fillId="4" borderId="2" xfId="4" applyNumberFormat="1" applyFont="1" applyFill="1" applyBorder="1" applyAlignment="1">
      <alignment horizontal="right" vertical="center" wrapText="1"/>
    </xf>
    <xf numFmtId="39" fontId="12" fillId="0" borderId="0" xfId="0" applyNumberFormat="1" applyFont="1" applyAlignment="1">
      <alignment horizontal="center"/>
    </xf>
    <xf numFmtId="0" fontId="113" fillId="3" borderId="12" xfId="0" applyFont="1" applyFill="1" applyBorder="1" applyAlignment="1"/>
    <xf numFmtId="0" fontId="47" fillId="3" borderId="34" xfId="0" applyFont="1" applyFill="1" applyBorder="1" applyAlignment="1">
      <alignment horizontal="left" vertical="center" wrapText="1"/>
    </xf>
    <xf numFmtId="0" fontId="47" fillId="3" borderId="41" xfId="0" applyFont="1" applyFill="1" applyBorder="1" applyAlignment="1">
      <alignment horizontal="center" vertical="center" wrapText="1"/>
    </xf>
    <xf numFmtId="0" fontId="47" fillId="3" borderId="34" xfId="0" applyFont="1" applyFill="1" applyBorder="1" applyAlignment="1">
      <alignment horizontal="center" vertical="center" wrapText="1"/>
    </xf>
    <xf numFmtId="0" fontId="8" fillId="0" borderId="34" xfId="0" applyFont="1" applyBorder="1" applyAlignment="1">
      <alignment horizontal="center"/>
    </xf>
    <xf numFmtId="0" fontId="47" fillId="3" borderId="34" xfId="0" applyFont="1" applyFill="1" applyBorder="1" applyAlignment="1">
      <alignment vertical="center" wrapText="1"/>
    </xf>
    <xf numFmtId="0" fontId="0" fillId="0" borderId="0" xfId="0" applyAlignment="1">
      <alignment horizontal="center" wrapText="1"/>
    </xf>
    <xf numFmtId="0" fontId="0" fillId="0" borderId="0" xfId="0" applyAlignment="1">
      <alignment horizontal="center"/>
    </xf>
    <xf numFmtId="0" fontId="98" fillId="0" borderId="16" xfId="15" applyBorder="1" applyAlignment="1">
      <alignment horizontal="left" vertical="center" wrapText="1"/>
    </xf>
    <xf numFmtId="0" fontId="98" fillId="0" borderId="17" xfId="15" applyBorder="1" applyAlignment="1">
      <alignment horizontal="left" vertical="center" wrapText="1"/>
    </xf>
    <xf numFmtId="0" fontId="98" fillId="0" borderId="18" xfId="15" applyBorder="1" applyAlignment="1">
      <alignment horizontal="left" vertical="center" wrapText="1"/>
    </xf>
    <xf numFmtId="0" fontId="99" fillId="0" borderId="16" xfId="0" applyFont="1" applyBorder="1" applyAlignment="1">
      <alignment horizontal="center" vertical="center"/>
    </xf>
    <xf numFmtId="0" fontId="99" fillId="0" borderId="17" xfId="0" applyFont="1" applyBorder="1" applyAlignment="1">
      <alignment horizontal="center" vertical="center"/>
    </xf>
    <xf numFmtId="0" fontId="99" fillId="0" borderId="18" xfId="0" applyFont="1" applyBorder="1" applyAlignment="1">
      <alignment horizontal="center" vertical="center"/>
    </xf>
    <xf numFmtId="0" fontId="99" fillId="0" borderId="8" xfId="0" applyFont="1" applyBorder="1" applyAlignment="1">
      <alignment horizontal="center" vertical="center"/>
    </xf>
    <xf numFmtId="0" fontId="99" fillId="0" borderId="9" xfId="0" applyFont="1" applyBorder="1" applyAlignment="1">
      <alignment horizontal="center" vertical="center"/>
    </xf>
    <xf numFmtId="0" fontId="99" fillId="0" borderId="10" xfId="0" applyFont="1" applyBorder="1" applyAlignment="1">
      <alignment horizontal="center" vertical="center"/>
    </xf>
    <xf numFmtId="0" fontId="51" fillId="0" borderId="23" xfId="0" applyFont="1" applyBorder="1" applyAlignment="1">
      <alignment horizontal="left" vertical="center" wrapText="1"/>
    </xf>
    <xf numFmtId="0" fontId="51" fillId="0" borderId="24" xfId="0" applyFont="1" applyBorder="1" applyAlignment="1">
      <alignment horizontal="left" vertical="center" wrapText="1"/>
    </xf>
    <xf numFmtId="0" fontId="51" fillId="0" borderId="25" xfId="0" applyFont="1" applyBorder="1" applyAlignment="1">
      <alignment horizontal="left" vertical="center" wrapText="1"/>
    </xf>
    <xf numFmtId="0" fontId="51" fillId="10" borderId="6" xfId="0" applyFont="1" applyFill="1" applyBorder="1" applyAlignment="1">
      <alignment horizontal="center"/>
    </xf>
    <xf numFmtId="0" fontId="51" fillId="10" borderId="0" xfId="0" applyFont="1" applyFill="1" applyBorder="1" applyAlignment="1">
      <alignment horizontal="center"/>
    </xf>
    <xf numFmtId="0" fontId="51" fillId="10" borderId="7" xfId="0" applyFont="1" applyFill="1" applyBorder="1" applyAlignment="1">
      <alignment horizontal="center"/>
    </xf>
    <xf numFmtId="0" fontId="51" fillId="0" borderId="23" xfId="0" applyFont="1" applyBorder="1" applyAlignment="1">
      <alignment horizontal="left" vertical="center"/>
    </xf>
    <xf numFmtId="0" fontId="51" fillId="0" borderId="24" xfId="0" applyFont="1" applyBorder="1" applyAlignment="1">
      <alignment horizontal="left" vertical="center"/>
    </xf>
    <xf numFmtId="0" fontId="51" fillId="0" borderId="25" xfId="0" applyFont="1" applyBorder="1" applyAlignment="1">
      <alignment horizontal="left" vertical="center"/>
    </xf>
    <xf numFmtId="0" fontId="98" fillId="0" borderId="23" xfId="15" applyBorder="1" applyAlignment="1">
      <alignment horizontal="left"/>
    </xf>
    <xf numFmtId="0" fontId="98" fillId="0" borderId="24" xfId="15" applyBorder="1" applyAlignment="1">
      <alignment horizontal="left"/>
    </xf>
    <xf numFmtId="0" fontId="98" fillId="0" borderId="25" xfId="15" applyBorder="1" applyAlignment="1">
      <alignment horizontal="left"/>
    </xf>
    <xf numFmtId="0" fontId="51" fillId="0" borderId="8" xfId="0" applyFont="1" applyBorder="1" applyAlignment="1">
      <alignment horizontal="left" wrapText="1"/>
    </xf>
    <xf numFmtId="0" fontId="51" fillId="0" borderId="9" xfId="0" applyFont="1" applyBorder="1" applyAlignment="1">
      <alignment horizontal="left" wrapText="1"/>
    </xf>
    <xf numFmtId="0" fontId="51" fillId="0" borderId="10" xfId="0" applyFont="1" applyBorder="1" applyAlignment="1">
      <alignment horizontal="left" wrapText="1"/>
    </xf>
    <xf numFmtId="0" fontId="98" fillId="0" borderId="23" xfId="15" applyBorder="1" applyAlignment="1">
      <alignment horizontal="left" vertical="center" wrapText="1"/>
    </xf>
    <xf numFmtId="0" fontId="98" fillId="0" borderId="24" xfId="15" applyBorder="1" applyAlignment="1">
      <alignment horizontal="left" vertical="center" wrapText="1"/>
    </xf>
    <xf numFmtId="0" fontId="98" fillId="0" borderId="25" xfId="15" applyBorder="1" applyAlignment="1">
      <alignment horizontal="left" vertical="center" wrapText="1"/>
    </xf>
    <xf numFmtId="0" fontId="98" fillId="3" borderId="23" xfId="15" applyFill="1" applyBorder="1" applyAlignment="1">
      <alignment horizontal="left" vertical="center" wrapText="1"/>
    </xf>
    <xf numFmtId="0" fontId="98" fillId="3" borderId="24" xfId="15" applyFill="1" applyBorder="1" applyAlignment="1">
      <alignment horizontal="left" vertical="center" wrapText="1"/>
    </xf>
    <xf numFmtId="0" fontId="98" fillId="3" borderId="25" xfId="15" applyFill="1" applyBorder="1" applyAlignment="1">
      <alignment horizontal="left" vertical="center" wrapText="1"/>
    </xf>
    <xf numFmtId="0" fontId="51" fillId="10" borderId="8" xfId="0" applyFont="1" applyFill="1" applyBorder="1" applyAlignment="1">
      <alignment horizontal="left" vertical="center" wrapText="1"/>
    </xf>
    <xf numFmtId="0" fontId="51" fillId="10" borderId="9" xfId="0" applyFont="1" applyFill="1" applyBorder="1" applyAlignment="1">
      <alignment horizontal="left" vertical="center" wrapText="1"/>
    </xf>
    <xf numFmtId="0" fontId="51" fillId="10" borderId="10" xfId="0" applyFont="1" applyFill="1" applyBorder="1" applyAlignment="1">
      <alignment horizontal="left" vertical="center" wrapText="1"/>
    </xf>
    <xf numFmtId="0" fontId="51" fillId="0" borderId="8" xfId="0" applyFont="1" applyBorder="1" applyAlignment="1">
      <alignment horizontal="left" vertical="center" wrapText="1"/>
    </xf>
    <xf numFmtId="0" fontId="51" fillId="0" borderId="9" xfId="0" applyFont="1" applyBorder="1" applyAlignment="1">
      <alignment horizontal="left" vertical="center" wrapText="1"/>
    </xf>
    <xf numFmtId="0" fontId="51" fillId="0" borderId="10" xfId="0" applyFont="1" applyBorder="1" applyAlignment="1">
      <alignment horizontal="left" vertical="center" wrapText="1"/>
    </xf>
    <xf numFmtId="169" fontId="9" fillId="6" borderId="26" xfId="4" applyNumberFormat="1" applyFont="1" applyFill="1" applyBorder="1" applyAlignment="1">
      <alignment horizontal="left" vertical="center" wrapText="1"/>
    </xf>
    <xf numFmtId="169" fontId="9" fillId="6" borderId="0" xfId="4" applyNumberFormat="1" applyFont="1" applyFill="1" applyBorder="1" applyAlignment="1">
      <alignment horizontal="left" vertical="center" wrapText="1"/>
    </xf>
    <xf numFmtId="0" fontId="24" fillId="11" borderId="6" xfId="0" applyFont="1" applyFill="1" applyBorder="1" applyAlignment="1">
      <alignment horizontal="center" vertical="center"/>
    </xf>
    <xf numFmtId="0" fontId="24" fillId="11" borderId="0" xfId="0" applyFont="1" applyFill="1" applyBorder="1" applyAlignment="1">
      <alignment horizontal="center" vertical="center"/>
    </xf>
    <xf numFmtId="0" fontId="8" fillId="3" borderId="6"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69" fillId="9" borderId="0" xfId="0" applyFont="1" applyFill="1" applyAlignment="1">
      <alignment horizontal="center" vertical="center" wrapText="1"/>
    </xf>
    <xf numFmtId="10" fontId="91" fillId="3" borderId="0" xfId="0" applyNumberFormat="1" applyFont="1" applyFill="1" applyAlignment="1">
      <alignment horizontal="center"/>
    </xf>
    <xf numFmtId="165" fontId="8" fillId="10" borderId="0" xfId="0" applyNumberFormat="1" applyFont="1" applyFill="1" applyAlignment="1">
      <alignment horizontal="center"/>
    </xf>
    <xf numFmtId="0" fontId="91" fillId="0" borderId="0" xfId="0" applyFont="1" applyAlignment="1">
      <alignment horizontal="center"/>
    </xf>
    <xf numFmtId="172" fontId="91" fillId="10" borderId="0" xfId="0" applyNumberFormat="1" applyFont="1" applyFill="1" applyAlignment="1">
      <alignment horizontal="center"/>
    </xf>
    <xf numFmtId="0" fontId="8" fillId="3" borderId="37" xfId="0" applyFont="1" applyFill="1" applyBorder="1" applyAlignment="1">
      <alignment horizontal="center" vertical="center"/>
    </xf>
    <xf numFmtId="0" fontId="8" fillId="3" borderId="40" xfId="0" applyFont="1" applyFill="1" applyBorder="1" applyAlignment="1">
      <alignment horizontal="center" vertical="center"/>
    </xf>
    <xf numFmtId="0" fontId="8" fillId="0" borderId="37" xfId="0" applyFont="1" applyBorder="1" applyAlignment="1">
      <alignment horizontal="center"/>
    </xf>
    <xf numFmtId="0" fontId="8" fillId="0" borderId="40" xfId="0" applyFont="1" applyBorder="1" applyAlignment="1">
      <alignment horizontal="center"/>
    </xf>
    <xf numFmtId="0" fontId="47" fillId="3" borderId="35" xfId="0" applyFont="1" applyFill="1" applyBorder="1" applyAlignment="1">
      <alignment horizontal="center" wrapText="1"/>
    </xf>
    <xf numFmtId="0" fontId="47" fillId="3" borderId="48" xfId="0" applyFont="1" applyFill="1" applyBorder="1" applyAlignment="1">
      <alignment horizontal="center" wrapText="1"/>
    </xf>
    <xf numFmtId="0" fontId="47" fillId="3" borderId="38" xfId="0" applyFont="1" applyFill="1" applyBorder="1" applyAlignment="1">
      <alignment horizontal="center" vertical="top" wrapText="1"/>
    </xf>
    <xf numFmtId="0" fontId="47" fillId="3" borderId="39" xfId="0" applyFont="1" applyFill="1" applyBorder="1" applyAlignment="1">
      <alignment horizontal="center" vertical="top" wrapText="1"/>
    </xf>
    <xf numFmtId="0" fontId="29" fillId="9" borderId="2" xfId="0" applyFont="1" applyFill="1" applyBorder="1" applyAlignment="1">
      <alignment horizontal="center" vertical="center" wrapText="1"/>
    </xf>
    <xf numFmtId="0" fontId="47" fillId="3" borderId="34" xfId="0" applyFont="1" applyFill="1" applyBorder="1" applyAlignment="1">
      <alignment horizontal="center" vertical="center" wrapText="1"/>
    </xf>
    <xf numFmtId="9" fontId="8" fillId="0" borderId="37" xfId="0" applyNumberFormat="1" applyFont="1" applyFill="1" applyBorder="1" applyAlignment="1">
      <alignment horizontal="center" vertical="center"/>
    </xf>
    <xf numFmtId="0" fontId="8" fillId="0" borderId="40" xfId="0" applyFont="1" applyFill="1" applyBorder="1" applyAlignment="1">
      <alignment horizontal="center" vertical="center"/>
    </xf>
    <xf numFmtId="0" fontId="29" fillId="9" borderId="37" xfId="0" applyFont="1" applyFill="1" applyBorder="1" applyAlignment="1">
      <alignment horizontal="left" vertical="center" wrapText="1"/>
    </xf>
    <xf numFmtId="0" fontId="47" fillId="3" borderId="40" xfId="0" applyFont="1" applyFill="1" applyBorder="1" applyAlignment="1">
      <alignment vertical="center" wrapText="1"/>
    </xf>
    <xf numFmtId="0" fontId="47" fillId="3" borderId="34" xfId="0" applyFont="1" applyFill="1" applyBorder="1" applyAlignment="1">
      <alignment vertical="center" wrapText="1"/>
    </xf>
    <xf numFmtId="0" fontId="47" fillId="3" borderId="47" xfId="0" applyFont="1" applyFill="1" applyBorder="1" applyAlignment="1">
      <alignment horizontal="center" vertical="center" wrapText="1"/>
    </xf>
    <xf numFmtId="0" fontId="47" fillId="3" borderId="41" xfId="0" applyFont="1" applyFill="1" applyBorder="1" applyAlignment="1">
      <alignment horizontal="center" vertical="center" wrapText="1"/>
    </xf>
    <xf numFmtId="0" fontId="47" fillId="3" borderId="40" xfId="0" applyFont="1" applyFill="1" applyBorder="1" applyAlignment="1">
      <alignment horizontal="center" vertical="center" wrapText="1"/>
    </xf>
    <xf numFmtId="9" fontId="60" fillId="3" borderId="37" xfId="3" applyFont="1" applyFill="1" applyBorder="1" applyAlignment="1">
      <alignment horizontal="center" vertical="center"/>
    </xf>
    <xf numFmtId="9" fontId="60" fillId="3" borderId="40" xfId="3" applyFont="1" applyFill="1" applyBorder="1" applyAlignment="1">
      <alignment horizontal="center" vertical="center"/>
    </xf>
    <xf numFmtId="168" fontId="8" fillId="3" borderId="37" xfId="0" applyNumberFormat="1" applyFont="1" applyFill="1" applyBorder="1" applyAlignment="1">
      <alignment horizontal="center" vertical="center"/>
    </xf>
    <xf numFmtId="168" fontId="8" fillId="3" borderId="40" xfId="0" applyNumberFormat="1" applyFont="1" applyFill="1" applyBorder="1" applyAlignment="1">
      <alignment horizontal="center" vertical="center"/>
    </xf>
    <xf numFmtId="165" fontId="8" fillId="3" borderId="37" xfId="0" applyNumberFormat="1" applyFont="1" applyFill="1" applyBorder="1" applyAlignment="1">
      <alignment horizontal="center" vertical="center"/>
    </xf>
    <xf numFmtId="165" fontId="8" fillId="3" borderId="40" xfId="0" applyNumberFormat="1" applyFont="1" applyFill="1" applyBorder="1" applyAlignment="1">
      <alignment horizontal="center" vertical="center"/>
    </xf>
    <xf numFmtId="0" fontId="48" fillId="10" borderId="6" xfId="0" applyFont="1" applyFill="1" applyBorder="1" applyAlignment="1">
      <alignment horizontal="left" vertical="center" wrapText="1"/>
    </xf>
    <xf numFmtId="0" fontId="48" fillId="10" borderId="0" xfId="0" applyFont="1" applyFill="1" applyBorder="1" applyAlignment="1">
      <alignment horizontal="left" vertical="center" wrapText="1"/>
    </xf>
    <xf numFmtId="0" fontId="29" fillId="9" borderId="2" xfId="0" applyFont="1" applyFill="1" applyBorder="1" applyAlignment="1">
      <alignment horizontal="left" vertical="center"/>
    </xf>
    <xf numFmtId="0" fontId="28" fillId="9" borderId="26" xfId="0" applyFont="1" applyFill="1" applyBorder="1" applyAlignment="1">
      <alignment horizontal="left" vertical="center" wrapText="1"/>
    </xf>
    <xf numFmtId="0" fontId="28" fillId="9" borderId="0" xfId="0" applyFont="1" applyFill="1" applyBorder="1" applyAlignment="1">
      <alignment horizontal="left" vertical="center" wrapText="1"/>
    </xf>
    <xf numFmtId="0" fontId="47" fillId="3" borderId="40" xfId="0" applyFont="1" applyFill="1" applyBorder="1" applyAlignment="1">
      <alignment horizontal="left" vertical="center" wrapText="1"/>
    </xf>
    <xf numFmtId="0" fontId="47" fillId="3" borderId="34" xfId="0" applyFont="1" applyFill="1" applyBorder="1" applyAlignment="1">
      <alignment horizontal="left" vertical="center" wrapText="1"/>
    </xf>
    <xf numFmtId="9" fontId="8" fillId="3" borderId="37" xfId="3" applyNumberFormat="1" applyFont="1" applyFill="1" applyBorder="1" applyAlignment="1">
      <alignment horizontal="center" vertical="center"/>
    </xf>
    <xf numFmtId="9" fontId="8" fillId="3" borderId="40" xfId="3" applyNumberFormat="1" applyFont="1" applyFill="1" applyBorder="1" applyAlignment="1">
      <alignment horizontal="center" vertical="center"/>
    </xf>
    <xf numFmtId="0" fontId="8" fillId="0" borderId="34" xfId="0" applyFont="1" applyBorder="1" applyAlignment="1">
      <alignment horizontal="center"/>
    </xf>
    <xf numFmtId="9" fontId="8" fillId="3" borderId="37" xfId="0" applyNumberFormat="1" applyFont="1" applyFill="1" applyBorder="1" applyAlignment="1">
      <alignment horizontal="center" vertical="center"/>
    </xf>
    <xf numFmtId="0" fontId="47" fillId="0" borderId="34" xfId="0" applyFont="1" applyBorder="1" applyAlignment="1">
      <alignment horizontal="left" vertical="center" wrapText="1"/>
    </xf>
    <xf numFmtId="0" fontId="47" fillId="0" borderId="41" xfId="0" applyFont="1" applyBorder="1" applyAlignment="1">
      <alignment horizontal="center" vertical="center" wrapText="1"/>
    </xf>
    <xf numFmtId="0" fontId="47" fillId="0" borderId="34" xfId="0" applyFont="1" applyBorder="1" applyAlignment="1">
      <alignment horizontal="center" vertical="center" wrapText="1"/>
    </xf>
    <xf numFmtId="9" fontId="47" fillId="0" borderId="37" xfId="0" applyNumberFormat="1" applyFont="1" applyFill="1" applyBorder="1" applyAlignment="1">
      <alignment horizontal="center" vertical="center"/>
    </xf>
    <xf numFmtId="0" fontId="47" fillId="0" borderId="40" xfId="0" applyFont="1" applyFill="1" applyBorder="1" applyAlignment="1">
      <alignment horizontal="center" vertical="center"/>
    </xf>
    <xf numFmtId="10" fontId="108" fillId="3" borderId="50" xfId="3" applyNumberFormat="1" applyFont="1" applyFill="1" applyBorder="1" applyAlignment="1">
      <alignment horizontal="center" vertical="center" wrapText="1"/>
    </xf>
    <xf numFmtId="0" fontId="8" fillId="3" borderId="34" xfId="0" applyFont="1" applyFill="1" applyBorder="1" applyAlignment="1">
      <alignment horizontal="left" vertical="center" wrapText="1"/>
    </xf>
    <xf numFmtId="0" fontId="8" fillId="3" borderId="41" xfId="0" applyFont="1" applyFill="1" applyBorder="1" applyAlignment="1">
      <alignment horizontal="center" vertical="center" wrapText="1"/>
    </xf>
    <xf numFmtId="0" fontId="8" fillId="3" borderId="34" xfId="0" applyFont="1" applyFill="1" applyBorder="1" applyAlignment="1">
      <alignment horizontal="center" vertical="center" wrapText="1"/>
    </xf>
    <xf numFmtId="9" fontId="8" fillId="3" borderId="37" xfId="3" applyFont="1" applyFill="1" applyBorder="1" applyAlignment="1">
      <alignment horizontal="center" vertical="center"/>
    </xf>
    <xf numFmtId="9" fontId="8" fillId="3" borderId="40" xfId="3" applyFont="1" applyFill="1" applyBorder="1" applyAlignment="1">
      <alignment horizontal="center" vertical="center"/>
    </xf>
    <xf numFmtId="0" fontId="63" fillId="17" borderId="41" xfId="5" applyFont="1" applyFill="1" applyBorder="1" applyAlignment="1">
      <alignment horizontal="center" vertical="center" wrapText="1"/>
    </xf>
    <xf numFmtId="0" fontId="63" fillId="17" borderId="34" xfId="5" applyFont="1" applyFill="1" applyBorder="1" applyAlignment="1">
      <alignment horizontal="center" vertical="center"/>
    </xf>
    <xf numFmtId="0" fontId="47" fillId="3" borderId="37" xfId="0" applyFont="1" applyFill="1" applyBorder="1" applyAlignment="1">
      <alignment horizontal="left" vertical="center" wrapText="1"/>
    </xf>
    <xf numFmtId="0" fontId="64" fillId="0" borderId="36" xfId="0" applyFont="1" applyBorder="1" applyAlignment="1">
      <alignment horizontal="center" vertical="center" wrapText="1"/>
    </xf>
    <xf numFmtId="0" fontId="64" fillId="0" borderId="39" xfId="0" applyFont="1" applyBorder="1" applyAlignment="1">
      <alignment horizontal="center" vertical="center" wrapText="1"/>
    </xf>
    <xf numFmtId="0" fontId="47" fillId="3" borderId="46" xfId="0" applyFont="1" applyFill="1" applyBorder="1" applyAlignment="1">
      <alignment horizontal="center" wrapText="1"/>
    </xf>
    <xf numFmtId="0" fontId="47" fillId="3" borderId="45" xfId="0" applyFont="1" applyFill="1" applyBorder="1" applyAlignment="1">
      <alignment horizontal="center" wrapText="1"/>
    </xf>
    <xf numFmtId="0" fontId="47" fillId="3" borderId="37" xfId="0" applyFont="1" applyFill="1" applyBorder="1" applyAlignment="1">
      <alignment horizontal="center" vertical="center" wrapText="1"/>
    </xf>
    <xf numFmtId="0" fontId="63" fillId="18" borderId="34" xfId="5" applyFont="1" applyFill="1" applyBorder="1" applyAlignment="1">
      <alignment horizontal="left" vertical="center" wrapText="1"/>
    </xf>
    <xf numFmtId="0" fontId="63" fillId="18" borderId="41" xfId="5" applyFont="1" applyFill="1" applyBorder="1" applyAlignment="1">
      <alignment horizontal="center" vertical="center" wrapText="1"/>
    </xf>
    <xf numFmtId="0" fontId="63" fillId="18" borderId="34" xfId="5" applyFont="1" applyFill="1" applyBorder="1" applyAlignment="1">
      <alignment horizontal="center" vertical="center" wrapText="1"/>
    </xf>
    <xf numFmtId="0" fontId="47" fillId="3" borderId="44" xfId="0" applyFont="1" applyFill="1" applyBorder="1" applyAlignment="1">
      <alignment horizontal="center" wrapText="1"/>
    </xf>
    <xf numFmtId="0" fontId="47" fillId="3" borderId="40" xfId="0" applyFont="1" applyFill="1" applyBorder="1" applyAlignment="1">
      <alignment horizontal="center" vertical="top" wrapText="1"/>
    </xf>
    <xf numFmtId="168" fontId="8" fillId="3" borderId="37" xfId="3" applyNumberFormat="1" applyFont="1" applyFill="1" applyBorder="1" applyAlignment="1">
      <alignment horizontal="center" vertical="center"/>
    </xf>
    <xf numFmtId="168" fontId="8" fillId="3" borderId="40" xfId="3" applyNumberFormat="1" applyFont="1" applyFill="1" applyBorder="1" applyAlignment="1">
      <alignment horizontal="center" vertical="center"/>
    </xf>
    <xf numFmtId="0" fontId="47" fillId="3" borderId="43" xfId="0" applyFont="1" applyFill="1" applyBorder="1" applyAlignment="1">
      <alignment horizontal="center" wrapText="1"/>
    </xf>
    <xf numFmtId="168" fontId="8" fillId="3" borderId="51" xfId="3" applyNumberFormat="1" applyFont="1" applyFill="1" applyBorder="1" applyAlignment="1">
      <alignment horizontal="center" vertical="center"/>
    </xf>
    <xf numFmtId="0" fontId="47" fillId="3" borderId="48" xfId="0" applyFont="1" applyFill="1" applyBorder="1" applyAlignment="1">
      <alignment horizontal="center" vertical="center" wrapText="1"/>
    </xf>
    <xf numFmtId="10" fontId="8" fillId="3" borderId="37" xfId="3" applyNumberFormat="1" applyFont="1" applyFill="1" applyBorder="1" applyAlignment="1">
      <alignment horizontal="center" vertical="center"/>
    </xf>
    <xf numFmtId="10" fontId="8" fillId="3" borderId="51" xfId="3" applyNumberFormat="1" applyFont="1" applyFill="1" applyBorder="1" applyAlignment="1">
      <alignment horizontal="center" vertical="center"/>
    </xf>
    <xf numFmtId="0" fontId="69" fillId="9" borderId="15" xfId="0" applyFont="1" applyFill="1" applyBorder="1" applyAlignment="1">
      <alignment horizontal="center" vertical="center"/>
    </xf>
    <xf numFmtId="0" fontId="69" fillId="9" borderId="12" xfId="0" applyFont="1" applyFill="1" applyBorder="1" applyAlignment="1">
      <alignment horizontal="center" vertical="center"/>
    </xf>
    <xf numFmtId="0" fontId="69" fillId="9" borderId="4" xfId="0" applyFont="1" applyFill="1" applyBorder="1" applyAlignment="1">
      <alignment horizontal="center" vertical="center"/>
    </xf>
    <xf numFmtId="0" fontId="91" fillId="3" borderId="0" xfId="0" applyFont="1" applyFill="1" applyAlignment="1">
      <alignment horizontal="center"/>
    </xf>
    <xf numFmtId="0" fontId="5" fillId="0" borderId="0" xfId="0" applyFont="1" applyBorder="1" applyAlignment="1">
      <alignment horizontal="center" vertical="center" wrapText="1"/>
    </xf>
    <xf numFmtId="0" fontId="12" fillId="3" borderId="2" xfId="0" applyFont="1" applyFill="1" applyBorder="1" applyAlignment="1" applyProtection="1">
      <alignment vertical="top" wrapText="1"/>
      <protection locked="0"/>
    </xf>
    <xf numFmtId="0" fontId="24" fillId="9" borderId="2" xfId="0" applyFont="1" applyFill="1" applyBorder="1" applyAlignment="1">
      <alignment horizontal="left" vertical="center" wrapText="1"/>
    </xf>
    <xf numFmtId="0" fontId="76" fillId="9" borderId="5" xfId="0" applyFont="1" applyFill="1" applyBorder="1" applyAlignment="1">
      <alignment horizontal="center" vertical="center" wrapText="1"/>
    </xf>
    <xf numFmtId="0" fontId="76" fillId="9" borderId="2" xfId="0" applyFont="1" applyFill="1" applyBorder="1" applyAlignment="1">
      <alignment horizontal="center" vertical="center" wrapText="1"/>
    </xf>
    <xf numFmtId="0" fontId="94" fillId="25" borderId="3" xfId="0" applyFont="1" applyFill="1" applyBorder="1" applyAlignment="1">
      <alignment horizontal="center" vertical="center" wrapText="1"/>
    </xf>
    <xf numFmtId="0" fontId="94" fillId="25" borderId="5" xfId="0" applyFont="1" applyFill="1" applyBorder="1" applyAlignment="1">
      <alignment horizontal="center" vertical="center" wrapText="1"/>
    </xf>
    <xf numFmtId="0" fontId="76" fillId="9" borderId="3" xfId="0" applyFont="1" applyFill="1" applyBorder="1" applyAlignment="1">
      <alignment horizontal="center" vertical="center" wrapText="1"/>
    </xf>
    <xf numFmtId="0" fontId="24" fillId="9" borderId="31" xfId="0" applyFont="1" applyFill="1" applyBorder="1" applyAlignment="1">
      <alignment horizontal="right" vertical="center" wrapText="1"/>
    </xf>
    <xf numFmtId="0" fontId="24" fillId="9" borderId="32" xfId="0" applyFont="1" applyFill="1" applyBorder="1" applyAlignment="1">
      <alignment horizontal="right" vertical="center" wrapText="1"/>
    </xf>
    <xf numFmtId="0" fontId="24" fillId="9" borderId="33" xfId="0" applyFont="1" applyFill="1" applyBorder="1" applyAlignment="1">
      <alignment horizontal="right" vertical="center" wrapText="1"/>
    </xf>
    <xf numFmtId="0" fontId="77" fillId="24" borderId="5" xfId="0" applyFont="1" applyFill="1" applyBorder="1" applyAlignment="1">
      <alignment horizontal="center" vertical="center" wrapText="1"/>
    </xf>
    <xf numFmtId="0" fontId="77" fillId="24" borderId="2" xfId="0" applyFont="1" applyFill="1" applyBorder="1" applyAlignment="1">
      <alignment horizontal="center" vertical="center" wrapText="1"/>
    </xf>
    <xf numFmtId="0" fontId="24" fillId="9" borderId="2" xfId="0" applyFont="1" applyFill="1" applyBorder="1" applyAlignment="1">
      <alignment horizontal="left" wrapText="1"/>
    </xf>
    <xf numFmtId="0" fontId="24" fillId="9" borderId="15" xfId="0" applyFont="1" applyFill="1" applyBorder="1" applyAlignment="1">
      <alignment horizontal="center" vertical="center" wrapText="1"/>
    </xf>
    <xf numFmtId="0" fontId="24" fillId="9" borderId="12" xfId="0" applyFont="1" applyFill="1" applyBorder="1" applyAlignment="1">
      <alignment horizontal="center" vertical="center" wrapText="1"/>
    </xf>
    <xf numFmtId="0" fontId="24" fillId="9" borderId="3" xfId="0" applyFont="1" applyFill="1" applyBorder="1" applyAlignment="1">
      <alignment horizontal="center" vertical="center" wrapText="1"/>
    </xf>
    <xf numFmtId="0" fontId="24" fillId="9" borderId="42" xfId="0" applyFont="1" applyFill="1" applyBorder="1" applyAlignment="1">
      <alignment horizontal="center" vertical="center" wrapText="1"/>
    </xf>
    <xf numFmtId="0" fontId="76" fillId="23" borderId="3" xfId="0" applyFont="1" applyFill="1" applyBorder="1" applyAlignment="1">
      <alignment horizontal="center" vertical="center" wrapText="1"/>
    </xf>
    <xf numFmtId="0" fontId="76" fillId="23" borderId="5" xfId="0" applyFont="1" applyFill="1" applyBorder="1" applyAlignment="1">
      <alignment horizontal="center" vertical="center" wrapText="1"/>
    </xf>
    <xf numFmtId="0" fontId="76" fillId="9" borderId="22" xfId="0" applyFont="1" applyFill="1" applyBorder="1" applyAlignment="1">
      <alignment horizontal="center" vertical="center" wrapText="1"/>
    </xf>
    <xf numFmtId="0" fontId="76" fillId="9" borderId="14" xfId="0" applyFont="1" applyFill="1" applyBorder="1" applyAlignment="1">
      <alignment horizontal="center" vertical="center" wrapText="1"/>
    </xf>
    <xf numFmtId="0" fontId="24" fillId="9" borderId="5" xfId="0" applyFont="1" applyFill="1" applyBorder="1" applyAlignment="1">
      <alignment horizontal="center" vertical="center" wrapText="1"/>
    </xf>
    <xf numFmtId="0" fontId="24" fillId="9" borderId="2" xfId="0" applyFont="1" applyFill="1" applyBorder="1" applyAlignment="1">
      <alignment horizontal="center" vertical="center" wrapText="1"/>
    </xf>
    <xf numFmtId="0" fontId="3" fillId="0" borderId="0" xfId="0" applyFont="1" applyBorder="1" applyAlignment="1">
      <alignment horizontal="center" vertical="center" wrapText="1"/>
    </xf>
    <xf numFmtId="0" fontId="46" fillId="20" borderId="26" xfId="0" applyFont="1" applyFill="1" applyBorder="1" applyAlignment="1">
      <alignment horizontal="left" vertical="top" wrapText="1"/>
    </xf>
    <xf numFmtId="0" fontId="46" fillId="20" borderId="0" xfId="0" applyFont="1" applyFill="1" applyBorder="1" applyAlignment="1">
      <alignment horizontal="left" vertical="top" wrapText="1"/>
    </xf>
    <xf numFmtId="0" fontId="45" fillId="15" borderId="2" xfId="0" applyFont="1" applyFill="1" applyBorder="1" applyAlignment="1">
      <alignment horizontal="center" vertical="center" wrapText="1"/>
    </xf>
    <xf numFmtId="0" fontId="4" fillId="4" borderId="2" xfId="0" applyFont="1" applyFill="1" applyBorder="1" applyAlignment="1">
      <alignment horizontal="left" vertical="center" wrapText="1"/>
    </xf>
    <xf numFmtId="0" fontId="4" fillId="3" borderId="2" xfId="0" applyFont="1" applyFill="1" applyBorder="1" applyAlignment="1">
      <alignment horizontal="left" vertical="center" wrapText="1"/>
    </xf>
    <xf numFmtId="0" fontId="5" fillId="3" borderId="2" xfId="0" applyFont="1" applyFill="1" applyBorder="1" applyAlignment="1">
      <alignment horizontal="left" vertical="center" wrapText="1"/>
    </xf>
    <xf numFmtId="0" fontId="12" fillId="6" borderId="16" xfId="0" applyFont="1" applyFill="1" applyBorder="1" applyAlignment="1">
      <alignment horizontal="left" vertical="center" wrapText="1"/>
    </xf>
    <xf numFmtId="0" fontId="12" fillId="6" borderId="17" xfId="0" applyFont="1" applyFill="1" applyBorder="1" applyAlignment="1">
      <alignment horizontal="left" vertical="center" wrapText="1"/>
    </xf>
    <xf numFmtId="0" fontId="12" fillId="6" borderId="6" xfId="0" applyFont="1" applyFill="1" applyBorder="1" applyAlignment="1">
      <alignment horizontal="left" vertical="center" wrapText="1"/>
    </xf>
    <xf numFmtId="0" fontId="12" fillId="6" borderId="0" xfId="0" applyFont="1" applyFill="1" applyBorder="1" applyAlignment="1">
      <alignment horizontal="left" vertical="center" wrapText="1"/>
    </xf>
    <xf numFmtId="0" fontId="12" fillId="6" borderId="8" xfId="0" applyFont="1" applyFill="1" applyBorder="1" applyAlignment="1">
      <alignment horizontal="left" vertical="center" wrapText="1"/>
    </xf>
    <xf numFmtId="0" fontId="12" fillId="6" borderId="9" xfId="0" applyFont="1" applyFill="1" applyBorder="1" applyAlignment="1">
      <alignment horizontal="left" vertical="center" wrapText="1"/>
    </xf>
    <xf numFmtId="0" fontId="31" fillId="10" borderId="0" xfId="0" applyFont="1" applyFill="1" applyBorder="1" applyAlignment="1">
      <alignment horizontal="center" vertical="center" wrapText="1"/>
    </xf>
    <xf numFmtId="0" fontId="6" fillId="4" borderId="2" xfId="0" applyFont="1" applyFill="1" applyBorder="1" applyAlignment="1">
      <alignment horizontal="left" vertical="center" wrapText="1"/>
    </xf>
    <xf numFmtId="174" fontId="25" fillId="9" borderId="15" xfId="0" applyNumberFormat="1" applyFont="1" applyFill="1" applyBorder="1" applyAlignment="1">
      <alignment horizontal="center" vertical="center" wrapText="1"/>
    </xf>
    <xf numFmtId="174" fontId="25" fillId="9" borderId="12" xfId="0" applyNumberFormat="1" applyFont="1" applyFill="1" applyBorder="1" applyAlignment="1">
      <alignment horizontal="center" vertical="center" wrapText="1"/>
    </xf>
    <xf numFmtId="174" fontId="25" fillId="9" borderId="4" xfId="0" applyNumberFormat="1" applyFont="1" applyFill="1" applyBorder="1" applyAlignment="1">
      <alignment horizontal="center" vertical="center" wrapText="1"/>
    </xf>
    <xf numFmtId="165" fontId="25" fillId="9" borderId="2" xfId="0" applyNumberFormat="1" applyFont="1" applyFill="1" applyBorder="1" applyAlignment="1">
      <alignment horizontal="center" vertical="center" wrapText="1"/>
    </xf>
    <xf numFmtId="174" fontId="25" fillId="9" borderId="3" xfId="0" applyNumberFormat="1" applyFont="1" applyFill="1" applyBorder="1" applyAlignment="1" applyProtection="1">
      <alignment horizontal="center" vertical="center" wrapText="1"/>
    </xf>
    <xf numFmtId="174" fontId="25" fillId="9" borderId="5" xfId="0" applyNumberFormat="1" applyFont="1" applyFill="1" applyBorder="1" applyAlignment="1" applyProtection="1">
      <alignment horizontal="center" vertical="center" wrapText="1"/>
    </xf>
    <xf numFmtId="0" fontId="26" fillId="9" borderId="23" xfId="0" applyFont="1" applyFill="1" applyBorder="1" applyAlignment="1">
      <alignment horizontal="left" vertical="center"/>
    </xf>
    <xf numFmtId="0" fontId="26" fillId="9" borderId="24" xfId="0" applyFont="1" applyFill="1" applyBorder="1" applyAlignment="1">
      <alignment horizontal="left" vertical="center"/>
    </xf>
    <xf numFmtId="0" fontId="26" fillId="9" borderId="25" xfId="0" applyFont="1" applyFill="1" applyBorder="1" applyAlignment="1">
      <alignment horizontal="left" vertical="center"/>
    </xf>
    <xf numFmtId="0" fontId="24" fillId="9" borderId="15" xfId="0" applyFont="1" applyFill="1" applyBorder="1" applyAlignment="1" applyProtection="1">
      <alignment horizontal="left" vertical="center"/>
      <protection locked="0"/>
    </xf>
    <xf numFmtId="0" fontId="24" fillId="9" borderId="12" xfId="0" applyFont="1" applyFill="1" applyBorder="1" applyAlignment="1" applyProtection="1">
      <alignment horizontal="left" vertical="center"/>
      <protection locked="0"/>
    </xf>
    <xf numFmtId="0" fontId="24" fillId="9" borderId="4" xfId="0" applyFont="1" applyFill="1" applyBorder="1" applyAlignment="1" applyProtection="1">
      <alignment horizontal="left" vertical="center"/>
      <protection locked="0"/>
    </xf>
    <xf numFmtId="0" fontId="24" fillId="9" borderId="15" xfId="0" applyFont="1" applyFill="1" applyBorder="1" applyAlignment="1">
      <alignment horizontal="left" vertical="center"/>
    </xf>
    <xf numFmtId="0" fontId="24" fillId="9" borderId="12" xfId="0" applyFont="1" applyFill="1" applyBorder="1" applyAlignment="1">
      <alignment horizontal="left" vertical="center"/>
    </xf>
    <xf numFmtId="0" fontId="24" fillId="9" borderId="4" xfId="0" applyFont="1" applyFill="1" applyBorder="1" applyAlignment="1">
      <alignment horizontal="left" vertical="center"/>
    </xf>
    <xf numFmtId="0" fontId="71" fillId="10" borderId="15" xfId="0" applyFont="1" applyFill="1" applyBorder="1" applyAlignment="1">
      <alignment horizontal="left" vertical="top" wrapText="1"/>
    </xf>
    <xf numFmtId="0" fontId="71" fillId="10" borderId="12" xfId="0" applyFont="1" applyFill="1" applyBorder="1" applyAlignment="1">
      <alignment horizontal="left" vertical="top" wrapText="1"/>
    </xf>
    <xf numFmtId="0" fontId="71" fillId="10" borderId="4" xfId="0" applyFont="1" applyFill="1" applyBorder="1" applyAlignment="1">
      <alignment horizontal="left" vertical="top" wrapText="1"/>
    </xf>
    <xf numFmtId="0" fontId="25" fillId="9" borderId="2" xfId="0" applyFont="1" applyFill="1" applyBorder="1" applyAlignment="1">
      <alignment horizontal="center" vertical="center" wrapText="1"/>
    </xf>
    <xf numFmtId="0" fontId="25" fillId="9" borderId="26" xfId="0" applyFont="1" applyFill="1" applyBorder="1" applyAlignment="1">
      <alignment horizontal="center" vertical="center" wrapText="1"/>
    </xf>
    <xf numFmtId="0" fontId="25" fillId="9" borderId="27" xfId="0" applyFont="1" applyFill="1" applyBorder="1" applyAlignment="1">
      <alignment horizontal="center" vertical="center" wrapText="1"/>
    </xf>
    <xf numFmtId="0" fontId="25" fillId="11" borderId="26" xfId="0" applyFont="1" applyFill="1" applyBorder="1" applyAlignment="1">
      <alignment horizontal="center" vertical="center" wrapText="1"/>
    </xf>
    <xf numFmtId="0" fontId="25" fillId="11" borderId="27" xfId="0" applyFont="1" applyFill="1" applyBorder="1" applyAlignment="1">
      <alignment horizontal="center" vertical="center" wrapText="1"/>
    </xf>
    <xf numFmtId="0" fontId="25" fillId="11" borderId="2" xfId="0" applyFont="1" applyFill="1" applyBorder="1" applyAlignment="1">
      <alignment horizontal="left" vertical="center" wrapText="1"/>
    </xf>
    <xf numFmtId="0" fontId="4" fillId="3" borderId="15" xfId="0" applyFont="1" applyFill="1" applyBorder="1" applyAlignment="1">
      <alignment horizontal="left" vertical="center" wrapText="1"/>
    </xf>
    <xf numFmtId="0" fontId="4" fillId="3" borderId="4" xfId="0" applyFont="1" applyFill="1" applyBorder="1" applyAlignment="1">
      <alignment horizontal="left" vertical="center" wrapText="1"/>
    </xf>
    <xf numFmtId="0" fontId="12" fillId="6" borderId="23" xfId="0" applyFont="1" applyFill="1" applyBorder="1" applyAlignment="1">
      <alignment horizontal="left" vertical="top" wrapText="1"/>
    </xf>
    <xf numFmtId="0" fontId="12" fillId="6" borderId="24" xfId="0" applyFont="1" applyFill="1" applyBorder="1" applyAlignment="1">
      <alignment horizontal="left" vertical="top" wrapText="1"/>
    </xf>
    <xf numFmtId="0" fontId="12" fillId="6" borderId="25" xfId="0" applyFont="1" applyFill="1" applyBorder="1" applyAlignment="1">
      <alignment horizontal="left" vertical="top" wrapText="1"/>
    </xf>
    <xf numFmtId="0" fontId="12" fillId="6" borderId="16" xfId="0" applyFont="1" applyFill="1" applyBorder="1" applyAlignment="1">
      <alignment horizontal="left" vertical="top" wrapText="1"/>
    </xf>
    <xf numFmtId="0" fontId="12" fillId="6" borderId="17" xfId="0" applyFont="1" applyFill="1" applyBorder="1" applyAlignment="1">
      <alignment horizontal="left" vertical="top" wrapText="1"/>
    </xf>
    <xf numFmtId="0" fontId="12" fillId="6" borderId="18" xfId="0" applyFont="1" applyFill="1" applyBorder="1" applyAlignment="1">
      <alignment horizontal="left" vertical="top" wrapText="1"/>
    </xf>
    <xf numFmtId="0" fontId="9" fillId="10" borderId="0" xfId="0" applyFont="1" applyFill="1" applyBorder="1" applyAlignment="1">
      <alignment horizontal="left"/>
    </xf>
    <xf numFmtId="0" fontId="26" fillId="9" borderId="2" xfId="0" applyFont="1" applyFill="1" applyBorder="1" applyAlignment="1">
      <alignment horizontal="center" vertical="center" textRotation="90"/>
    </xf>
    <xf numFmtId="41" fontId="26" fillId="9" borderId="2" xfId="0" applyNumberFormat="1" applyFont="1" applyFill="1" applyBorder="1" applyAlignment="1">
      <alignment horizontal="center" vertical="center" wrapText="1"/>
    </xf>
    <xf numFmtId="0" fontId="32" fillId="5" borderId="2" xfId="0" applyFont="1" applyFill="1" applyBorder="1" applyAlignment="1">
      <alignment horizontal="left" vertical="center"/>
    </xf>
    <xf numFmtId="41" fontId="9" fillId="3" borderId="2" xfId="0" applyNumberFormat="1" applyFont="1" applyFill="1" applyBorder="1" applyAlignment="1">
      <alignment horizontal="left" vertical="center" wrapText="1"/>
    </xf>
    <xf numFmtId="0" fontId="32" fillId="3" borderId="2" xfId="0" applyFont="1" applyFill="1" applyBorder="1" applyAlignment="1">
      <alignment horizontal="left" vertical="center"/>
    </xf>
    <xf numFmtId="41" fontId="26" fillId="9" borderId="2" xfId="0" applyNumberFormat="1" applyFont="1" applyFill="1" applyBorder="1" applyAlignment="1">
      <alignment horizontal="left" vertical="center" wrapText="1"/>
    </xf>
    <xf numFmtId="0" fontId="9" fillId="3" borderId="0" xfId="0" applyFont="1" applyFill="1" applyBorder="1" applyAlignment="1">
      <alignment horizontal="center" vertical="center" wrapText="1"/>
    </xf>
    <xf numFmtId="0" fontId="26" fillId="9" borderId="2" xfId="0" applyFont="1" applyFill="1" applyBorder="1" applyAlignment="1" applyProtection="1">
      <alignment horizontal="left" vertical="center"/>
      <protection locked="0"/>
    </xf>
    <xf numFmtId="0" fontId="26" fillId="9" borderId="2" xfId="0" applyFont="1" applyFill="1" applyBorder="1" applyAlignment="1">
      <alignment horizontal="left" vertical="center" wrapText="1"/>
    </xf>
    <xf numFmtId="0" fontId="9" fillId="12" borderId="2" xfId="0" applyFont="1" applyFill="1" applyBorder="1" applyAlignment="1">
      <alignment horizontal="center" vertical="center" wrapText="1"/>
    </xf>
    <xf numFmtId="0" fontId="12" fillId="4" borderId="0" xfId="0" applyFont="1" applyFill="1" applyAlignment="1">
      <alignment horizontal="center" vertical="center" wrapText="1"/>
    </xf>
    <xf numFmtId="0" fontId="80" fillId="9" borderId="15" xfId="0" applyFont="1" applyFill="1" applyBorder="1" applyAlignment="1">
      <alignment horizontal="left"/>
    </xf>
    <xf numFmtId="0" fontId="80" fillId="9" borderId="12" xfId="0" applyFont="1" applyFill="1" applyBorder="1" applyAlignment="1">
      <alignment horizontal="left"/>
    </xf>
    <xf numFmtId="0" fontId="80" fillId="9" borderId="4" xfId="0" applyFont="1" applyFill="1" applyBorder="1" applyAlignment="1">
      <alignment horizontal="left"/>
    </xf>
    <xf numFmtId="0" fontId="78" fillId="4" borderId="19" xfId="0" applyFont="1" applyFill="1" applyBorder="1" applyAlignment="1">
      <alignment horizontal="left" vertical="top" wrapText="1"/>
    </xf>
    <xf numFmtId="0" fontId="78" fillId="4" borderId="20" xfId="0" applyFont="1" applyFill="1" applyBorder="1" applyAlignment="1">
      <alignment horizontal="left" vertical="top" wrapText="1"/>
    </xf>
    <xf numFmtId="0" fontId="78" fillId="4" borderId="21" xfId="0" applyFont="1" applyFill="1" applyBorder="1" applyAlignment="1">
      <alignment horizontal="left" vertical="top" wrapText="1"/>
    </xf>
    <xf numFmtId="0" fontId="78" fillId="4" borderId="26" xfId="0" applyFont="1" applyFill="1" applyBorder="1" applyAlignment="1">
      <alignment horizontal="left" vertical="top" wrapText="1"/>
    </xf>
    <xf numFmtId="0" fontId="78" fillId="4" borderId="0" xfId="0" applyFont="1" applyFill="1" applyBorder="1" applyAlignment="1">
      <alignment horizontal="left" vertical="top" wrapText="1"/>
    </xf>
    <xf numFmtId="0" fontId="78" fillId="4" borderId="27" xfId="0" applyFont="1" applyFill="1" applyBorder="1" applyAlignment="1">
      <alignment horizontal="left" vertical="top" wrapText="1"/>
    </xf>
    <xf numFmtId="0" fontId="78" fillId="4" borderId="28" xfId="0" applyFont="1" applyFill="1" applyBorder="1" applyAlignment="1">
      <alignment horizontal="left" vertical="top" wrapText="1"/>
    </xf>
    <xf numFmtId="0" fontId="78" fillId="4" borderId="29" xfId="0" applyFont="1" applyFill="1" applyBorder="1" applyAlignment="1">
      <alignment horizontal="left" vertical="top" wrapText="1"/>
    </xf>
    <xf numFmtId="0" fontId="78" fillId="4" borderId="30" xfId="0" applyFont="1" applyFill="1" applyBorder="1" applyAlignment="1">
      <alignment horizontal="left" vertical="top" wrapText="1"/>
    </xf>
    <xf numFmtId="0" fontId="0" fillId="3" borderId="0" xfId="0" applyFill="1" applyAlignment="1">
      <alignment horizontal="center" wrapText="1"/>
    </xf>
    <xf numFmtId="0" fontId="33" fillId="9" borderId="15" xfId="0" applyFont="1" applyFill="1" applyBorder="1" applyAlignment="1">
      <alignment horizontal="center" vertical="center"/>
    </xf>
    <xf numFmtId="0" fontId="33" fillId="9" borderId="12" xfId="0" applyFont="1" applyFill="1" applyBorder="1" applyAlignment="1">
      <alignment horizontal="center" vertical="center"/>
    </xf>
    <xf numFmtId="0" fontId="68" fillId="10" borderId="3" xfId="0" applyFont="1" applyFill="1" applyBorder="1" applyAlignment="1">
      <alignment horizontal="center" vertical="center" wrapText="1"/>
    </xf>
    <xf numFmtId="0" fontId="68" fillId="10" borderId="5" xfId="0" applyFont="1" applyFill="1" applyBorder="1" applyAlignment="1">
      <alignment horizontal="center" vertical="center" wrapText="1"/>
    </xf>
    <xf numFmtId="0" fontId="21" fillId="5" borderId="2" xfId="0" applyFont="1" applyFill="1" applyBorder="1" applyAlignment="1">
      <alignment horizontal="right" wrapText="1"/>
    </xf>
    <xf numFmtId="166" fontId="21" fillId="5" borderId="2" xfId="4" applyNumberFormat="1" applyFont="1" applyFill="1" applyBorder="1" applyAlignment="1">
      <alignment horizontal="center" vertical="center" wrapText="1"/>
    </xf>
    <xf numFmtId="0" fontId="7" fillId="0" borderId="0" xfId="0" applyFont="1" applyBorder="1" applyAlignment="1">
      <alignment horizontal="center"/>
    </xf>
    <xf numFmtId="0" fontId="19" fillId="0" borderId="26" xfId="0" applyFont="1" applyBorder="1" applyAlignment="1">
      <alignment horizontal="center" vertical="center"/>
    </xf>
    <xf numFmtId="0" fontId="25" fillId="9" borderId="2" xfId="0" applyFont="1" applyFill="1" applyBorder="1" applyAlignment="1" applyProtection="1">
      <alignment horizontal="left" vertical="center"/>
      <protection locked="0"/>
    </xf>
    <xf numFmtId="0" fontId="33" fillId="9" borderId="2" xfId="0" applyFont="1" applyFill="1" applyBorder="1" applyAlignment="1">
      <alignment horizontal="center" vertical="center" wrapText="1"/>
    </xf>
    <xf numFmtId="164" fontId="33" fillId="9" borderId="2" xfId="4" applyFont="1" applyFill="1" applyBorder="1" applyAlignment="1">
      <alignment horizontal="center" vertical="center" wrapText="1"/>
    </xf>
    <xf numFmtId="0" fontId="33" fillId="9" borderId="2" xfId="0" applyFont="1" applyFill="1" applyBorder="1" applyAlignment="1">
      <alignment horizontal="center" vertical="center"/>
    </xf>
    <xf numFmtId="0" fontId="26" fillId="9" borderId="2" xfId="0" applyFont="1" applyFill="1" applyBorder="1" applyAlignment="1">
      <alignment horizontal="center" vertical="center" wrapText="1"/>
    </xf>
    <xf numFmtId="0" fontId="26" fillId="9" borderId="19" xfId="0" applyFont="1" applyFill="1" applyBorder="1" applyAlignment="1">
      <alignment horizontal="left" vertical="center"/>
    </xf>
    <xf numFmtId="0" fontId="26" fillId="9" borderId="20" xfId="0" applyFont="1" applyFill="1" applyBorder="1" applyAlignment="1">
      <alignment horizontal="left" vertical="center"/>
    </xf>
    <xf numFmtId="0" fontId="26" fillId="9" borderId="12" xfId="0" applyFont="1" applyFill="1" applyBorder="1" applyAlignment="1">
      <alignment horizontal="left" vertical="center"/>
    </xf>
    <xf numFmtId="0" fontId="26" fillId="9" borderId="4" xfId="0" applyFont="1" applyFill="1" applyBorder="1" applyAlignment="1">
      <alignment horizontal="left" vertical="center"/>
    </xf>
    <xf numFmtId="0" fontId="92" fillId="9" borderId="2" xfId="0" applyFont="1" applyFill="1" applyBorder="1" applyAlignment="1" applyProtection="1">
      <alignment horizontal="left" vertical="center"/>
      <protection locked="0"/>
    </xf>
    <xf numFmtId="0" fontId="101" fillId="10" borderId="0" xfId="0" applyFont="1" applyFill="1" applyAlignment="1">
      <alignment horizontal="left" vertical="center" wrapText="1"/>
    </xf>
    <xf numFmtId="0" fontId="102" fillId="9" borderId="15" xfId="0" applyFont="1" applyFill="1" applyBorder="1" applyAlignment="1" applyProtection="1">
      <alignment horizontal="left" vertical="center" wrapText="1"/>
      <protection locked="0"/>
    </xf>
    <xf numFmtId="0" fontId="102" fillId="9" borderId="12" xfId="0" applyFont="1" applyFill="1" applyBorder="1" applyAlignment="1" applyProtection="1">
      <alignment horizontal="left" vertical="center" wrapText="1"/>
      <protection locked="0"/>
    </xf>
    <xf numFmtId="0" fontId="91" fillId="2" borderId="12" xfId="0" applyFont="1" applyFill="1" applyBorder="1" applyAlignment="1" applyProtection="1">
      <alignment horizontal="left" wrapText="1"/>
      <protection locked="0"/>
    </xf>
    <xf numFmtId="0" fontId="91" fillId="2" borderId="4" xfId="0" applyFont="1" applyFill="1" applyBorder="1" applyAlignment="1" applyProtection="1">
      <alignment horizontal="left" wrapText="1"/>
      <protection locked="0"/>
    </xf>
    <xf numFmtId="0" fontId="102" fillId="9" borderId="4" xfId="0" applyFont="1" applyFill="1" applyBorder="1" applyAlignment="1" applyProtection="1">
      <alignment horizontal="left" vertical="center" wrapText="1"/>
      <protection locked="0"/>
    </xf>
    <xf numFmtId="0" fontId="28" fillId="9" borderId="19" xfId="0" applyFont="1" applyFill="1" applyBorder="1" applyAlignment="1">
      <alignment horizontal="center" vertical="center" wrapText="1"/>
    </xf>
    <xf numFmtId="0" fontId="28" fillId="9" borderId="21" xfId="0" applyFont="1" applyFill="1" applyBorder="1" applyAlignment="1">
      <alignment horizontal="center" vertical="center" wrapText="1"/>
    </xf>
    <xf numFmtId="0" fontId="28" fillId="9" borderId="26" xfId="0" applyFont="1" applyFill="1" applyBorder="1" applyAlignment="1">
      <alignment horizontal="center" vertical="center" wrapText="1"/>
    </xf>
    <xf numFmtId="0" fontId="28" fillId="9" borderId="27" xfId="0" applyFont="1" applyFill="1" applyBorder="1" applyAlignment="1">
      <alignment horizontal="center" vertical="center" wrapText="1"/>
    </xf>
    <xf numFmtId="0" fontId="28" fillId="9" borderId="28" xfId="0" applyFont="1" applyFill="1" applyBorder="1" applyAlignment="1">
      <alignment horizontal="center" vertical="center" wrapText="1"/>
    </xf>
    <xf numFmtId="0" fontId="28" fillId="9" borderId="30" xfId="0" applyFont="1" applyFill="1" applyBorder="1" applyAlignment="1">
      <alignment horizontal="center" vertical="center" wrapText="1"/>
    </xf>
    <xf numFmtId="0" fontId="28" fillId="9" borderId="15" xfId="0" applyFont="1" applyFill="1" applyBorder="1" applyAlignment="1">
      <alignment horizontal="center" vertical="center" wrapText="1"/>
    </xf>
    <xf numFmtId="0" fontId="28" fillId="9" borderId="12" xfId="0" applyFont="1" applyFill="1" applyBorder="1" applyAlignment="1">
      <alignment horizontal="center" vertical="center" wrapText="1"/>
    </xf>
    <xf numFmtId="0" fontId="28" fillId="9" borderId="4" xfId="0" applyFont="1" applyFill="1" applyBorder="1" applyAlignment="1">
      <alignment horizontal="center" vertical="center" wrapText="1"/>
    </xf>
    <xf numFmtId="0" fontId="28" fillId="9" borderId="2" xfId="0" applyFont="1" applyFill="1" applyBorder="1" applyAlignment="1">
      <alignment horizontal="center" vertical="center" wrapText="1"/>
    </xf>
    <xf numFmtId="0" fontId="28" fillId="23" borderId="3" xfId="0" applyFont="1" applyFill="1" applyBorder="1" applyAlignment="1">
      <alignment horizontal="center" vertical="center" wrapText="1"/>
    </xf>
    <xf numFmtId="0" fontId="28" fillId="23" borderId="42" xfId="0" applyFont="1" applyFill="1" applyBorder="1" applyAlignment="1">
      <alignment horizontal="center" vertical="center" wrapText="1"/>
    </xf>
    <xf numFmtId="0" fontId="28" fillId="23" borderId="5" xfId="0" applyFont="1" applyFill="1" applyBorder="1" applyAlignment="1">
      <alignment horizontal="center" vertical="center" wrapText="1"/>
    </xf>
    <xf numFmtId="0" fontId="28" fillId="9" borderId="3" xfId="0" applyFont="1" applyFill="1" applyBorder="1" applyAlignment="1">
      <alignment horizontal="center" vertical="center" wrapText="1"/>
    </xf>
    <xf numFmtId="0" fontId="28" fillId="9" borderId="5" xfId="0" applyFont="1" applyFill="1" applyBorder="1" applyAlignment="1">
      <alignment horizontal="center" vertical="center" wrapText="1"/>
    </xf>
    <xf numFmtId="0" fontId="8" fillId="10" borderId="26" xfId="0" applyFont="1" applyFill="1" applyBorder="1" applyAlignment="1">
      <alignment horizontal="center" vertical="center" wrapText="1"/>
    </xf>
    <xf numFmtId="0" fontId="8" fillId="10" borderId="0" xfId="0" applyFont="1" applyFill="1" applyAlignment="1">
      <alignment horizontal="center" vertical="center" wrapText="1"/>
    </xf>
    <xf numFmtId="0" fontId="8" fillId="3" borderId="15" xfId="0" applyFont="1" applyFill="1" applyBorder="1" applyAlignment="1" applyProtection="1">
      <alignment horizontal="center" vertical="center" wrapText="1"/>
      <protection locked="0"/>
    </xf>
    <xf numFmtId="0" fontId="8" fillId="3" borderId="4" xfId="0" applyFont="1" applyFill="1" applyBorder="1" applyAlignment="1" applyProtection="1">
      <alignment horizontal="center" vertical="center" wrapText="1"/>
      <protection locked="0"/>
    </xf>
    <xf numFmtId="0" fontId="29" fillId="9" borderId="15" xfId="0" applyFont="1" applyFill="1" applyBorder="1" applyAlignment="1">
      <alignment horizontal="right" wrapText="1"/>
    </xf>
    <xf numFmtId="0" fontId="29" fillId="9" borderId="12" xfId="0" applyFont="1" applyFill="1" applyBorder="1" applyAlignment="1">
      <alignment horizontal="right" wrapText="1"/>
    </xf>
    <xf numFmtId="0" fontId="8" fillId="3" borderId="1" xfId="0" applyFont="1" applyFill="1" applyBorder="1" applyAlignment="1">
      <alignment horizontal="left" wrapText="1"/>
    </xf>
    <xf numFmtId="0" fontId="28" fillId="9" borderId="19" xfId="0" applyFont="1" applyFill="1" applyBorder="1" applyAlignment="1">
      <alignment horizontal="left" vertical="center" wrapText="1"/>
    </xf>
    <xf numFmtId="0" fontId="28" fillId="9" borderId="20" xfId="0" applyFont="1" applyFill="1" applyBorder="1" applyAlignment="1">
      <alignment horizontal="left" vertical="center" wrapText="1"/>
    </xf>
    <xf numFmtId="0" fontId="28" fillId="9" borderId="21" xfId="0" applyFont="1" applyFill="1" applyBorder="1" applyAlignment="1">
      <alignment horizontal="left" vertical="center" wrapText="1"/>
    </xf>
    <xf numFmtId="0" fontId="48" fillId="6" borderId="16" xfId="0" applyFont="1" applyFill="1" applyBorder="1" applyAlignment="1">
      <alignment horizontal="left" wrapText="1"/>
    </xf>
    <xf numFmtId="0" fontId="47" fillId="6" borderId="17" xfId="0" applyFont="1" applyFill="1" applyBorder="1" applyAlignment="1">
      <alignment horizontal="left" wrapText="1"/>
    </xf>
    <xf numFmtId="0" fontId="47" fillId="6" borderId="18" xfId="0" applyFont="1" applyFill="1" applyBorder="1" applyAlignment="1">
      <alignment horizontal="left" wrapText="1"/>
    </xf>
    <xf numFmtId="0" fontId="47" fillId="6" borderId="6" xfId="0" applyFont="1" applyFill="1" applyBorder="1" applyAlignment="1">
      <alignment horizontal="left" wrapText="1"/>
    </xf>
    <xf numFmtId="0" fontId="47" fillId="6" borderId="0" xfId="0" applyFont="1" applyFill="1" applyBorder="1" applyAlignment="1">
      <alignment horizontal="left" wrapText="1"/>
    </xf>
    <xf numFmtId="0" fontId="47" fillId="6" borderId="7" xfId="0" applyFont="1" applyFill="1" applyBorder="1" applyAlignment="1">
      <alignment horizontal="left" wrapText="1"/>
    </xf>
    <xf numFmtId="0" fontId="47" fillId="6" borderId="8" xfId="0" applyFont="1" applyFill="1" applyBorder="1" applyAlignment="1">
      <alignment horizontal="left" wrapText="1"/>
    </xf>
    <xf numFmtId="0" fontId="47" fillId="6" borderId="9" xfId="0" applyFont="1" applyFill="1" applyBorder="1" applyAlignment="1">
      <alignment horizontal="left" wrapText="1"/>
    </xf>
    <xf numFmtId="0" fontId="47" fillId="6" borderId="10" xfId="0" applyFont="1" applyFill="1" applyBorder="1" applyAlignment="1">
      <alignment horizontal="left" wrapText="1"/>
    </xf>
    <xf numFmtId="0" fontId="28" fillId="9" borderId="15" xfId="0" applyFont="1" applyFill="1" applyBorder="1" applyAlignment="1">
      <alignment horizontal="left" vertical="center" wrapText="1"/>
    </xf>
    <xf numFmtId="0" fontId="28" fillId="9" borderId="12" xfId="0" applyFont="1" applyFill="1" applyBorder="1" applyAlignment="1">
      <alignment horizontal="left" vertical="center" wrapText="1"/>
    </xf>
    <xf numFmtId="0" fontId="28" fillId="9" borderId="4" xfId="0" applyFont="1" applyFill="1" applyBorder="1" applyAlignment="1">
      <alignment horizontal="left" vertical="center" wrapText="1"/>
    </xf>
    <xf numFmtId="0" fontId="8" fillId="3" borderId="15" xfId="0" applyFont="1" applyFill="1" applyBorder="1" applyAlignment="1" applyProtection="1">
      <alignment horizontal="left" wrapText="1"/>
      <protection locked="0"/>
    </xf>
    <xf numFmtId="0" fontId="8" fillId="3" borderId="12" xfId="0" applyFont="1" applyFill="1" applyBorder="1" applyAlignment="1" applyProtection="1">
      <alignment horizontal="left" wrapText="1"/>
      <protection locked="0"/>
    </xf>
    <xf numFmtId="0" fontId="8" fillId="3" borderId="4" xfId="0" applyFont="1" applyFill="1" applyBorder="1" applyAlignment="1" applyProtection="1">
      <alignment horizontal="left" wrapText="1"/>
      <protection locked="0"/>
    </xf>
    <xf numFmtId="0" fontId="27" fillId="4" borderId="11" xfId="0" applyFont="1" applyFill="1" applyBorder="1" applyAlignment="1">
      <alignment horizontal="center" wrapText="1"/>
    </xf>
    <xf numFmtId="0" fontId="91" fillId="3" borderId="12" xfId="0" applyFont="1" applyFill="1" applyBorder="1" applyAlignment="1" applyProtection="1">
      <alignment horizontal="left" wrapText="1"/>
      <protection locked="0"/>
    </xf>
    <xf numFmtId="0" fontId="91" fillId="3" borderId="4" xfId="0" applyFont="1" applyFill="1" applyBorder="1" applyAlignment="1" applyProtection="1">
      <alignment horizontal="left" wrapText="1"/>
      <protection locked="0"/>
    </xf>
    <xf numFmtId="0" fontId="44" fillId="0" borderId="12" xfId="0" applyFont="1" applyBorder="1" applyAlignment="1">
      <alignment horizontal="center"/>
    </xf>
    <xf numFmtId="0" fontId="74" fillId="10" borderId="15" xfId="0" applyFont="1" applyFill="1" applyBorder="1" applyAlignment="1">
      <alignment horizontal="center" vertical="center"/>
    </xf>
    <xf numFmtId="0" fontId="74" fillId="10" borderId="4" xfId="0" applyFont="1" applyFill="1" applyBorder="1" applyAlignment="1">
      <alignment horizontal="center" vertical="center"/>
    </xf>
    <xf numFmtId="0" fontId="34" fillId="22" borderId="3" xfId="0" applyFont="1" applyFill="1" applyBorder="1" applyAlignment="1">
      <alignment horizontal="center" vertical="center" wrapText="1"/>
    </xf>
    <xf numFmtId="0" fontId="34" fillId="22" borderId="42" xfId="0" applyFont="1" applyFill="1" applyBorder="1" applyAlignment="1">
      <alignment horizontal="center" vertical="center" wrapText="1"/>
    </xf>
    <xf numFmtId="0" fontId="34" fillId="22" borderId="5" xfId="0" applyFont="1" applyFill="1" applyBorder="1" applyAlignment="1">
      <alignment horizontal="center" vertical="center" wrapText="1"/>
    </xf>
    <xf numFmtId="0" fontId="34" fillId="19" borderId="3" xfId="0" quotePrefix="1" applyFont="1" applyFill="1" applyBorder="1" applyAlignment="1">
      <alignment horizontal="center" vertical="center" wrapText="1"/>
    </xf>
    <xf numFmtId="0" fontId="34" fillId="19" borderId="42" xfId="0" quotePrefix="1" applyFont="1" applyFill="1" applyBorder="1" applyAlignment="1">
      <alignment horizontal="center" vertical="center" wrapText="1"/>
    </xf>
    <xf numFmtId="0" fontId="34" fillId="19" borderId="5" xfId="0" quotePrefix="1" applyFont="1" applyFill="1" applyBorder="1" applyAlignment="1">
      <alignment horizontal="center" vertical="center" wrapText="1"/>
    </xf>
    <xf numFmtId="0" fontId="34" fillId="22" borderId="3" xfId="0" quotePrefix="1" applyFont="1" applyFill="1" applyBorder="1" applyAlignment="1">
      <alignment horizontal="center" vertical="center" wrapText="1"/>
    </xf>
    <xf numFmtId="0" fontId="34" fillId="22" borderId="42" xfId="0" quotePrefix="1" applyFont="1" applyFill="1" applyBorder="1" applyAlignment="1">
      <alignment horizontal="center" vertical="center" wrapText="1"/>
    </xf>
    <xf numFmtId="0" fontId="34" fillId="22" borderId="5" xfId="0" quotePrefix="1" applyFont="1" applyFill="1" applyBorder="1" applyAlignment="1">
      <alignment horizontal="center" vertical="center" wrapText="1"/>
    </xf>
    <xf numFmtId="0" fontId="34" fillId="19" borderId="3" xfId="0" applyFont="1" applyFill="1" applyBorder="1" applyAlignment="1">
      <alignment horizontal="center" vertical="center" wrapText="1"/>
    </xf>
    <xf numFmtId="0" fontId="34" fillId="19" borderId="5" xfId="0" applyFont="1" applyFill="1" applyBorder="1" applyAlignment="1">
      <alignment horizontal="center" vertical="center" wrapText="1"/>
    </xf>
    <xf numFmtId="0" fontId="0" fillId="3" borderId="0" xfId="0" applyFill="1" applyBorder="1"/>
    <xf numFmtId="0" fontId="3" fillId="3" borderId="0" xfId="0" applyFont="1" applyFill="1" applyBorder="1" applyAlignment="1">
      <alignment vertical="center" wrapText="1"/>
    </xf>
    <xf numFmtId="0" fontId="3" fillId="3" borderId="0" xfId="0" applyFont="1" applyFill="1" applyBorder="1" applyAlignment="1">
      <alignment horizontal="center" vertical="center" wrapText="1"/>
    </xf>
    <xf numFmtId="43" fontId="3" fillId="3" borderId="0" xfId="0" applyNumberFormat="1" applyFont="1" applyFill="1" applyBorder="1" applyAlignment="1">
      <alignment vertical="center" wrapText="1"/>
    </xf>
    <xf numFmtId="0" fontId="3" fillId="3" borderId="0" xfId="0" applyFont="1" applyFill="1" applyBorder="1" applyAlignment="1">
      <alignment horizontal="center" vertical="center" wrapText="1"/>
    </xf>
    <xf numFmtId="4" fontId="0" fillId="3" borderId="0" xfId="0" applyNumberFormat="1" applyFill="1"/>
    <xf numFmtId="43" fontId="0" fillId="3" borderId="0" xfId="0" applyNumberFormat="1" applyFill="1"/>
    <xf numFmtId="0" fontId="0" fillId="3" borderId="26" xfId="0" applyFill="1" applyBorder="1"/>
    <xf numFmtId="10" fontId="47" fillId="3" borderId="52" xfId="0" applyNumberFormat="1" applyFont="1" applyFill="1" applyBorder="1" applyAlignment="1">
      <alignment horizontal="center" vertical="center"/>
    </xf>
    <xf numFmtId="10" fontId="47" fillId="3" borderId="40" xfId="0" applyNumberFormat="1" applyFont="1" applyFill="1" applyBorder="1" applyAlignment="1">
      <alignment horizontal="center" vertical="center"/>
    </xf>
    <xf numFmtId="165" fontId="8" fillId="3" borderId="52" xfId="0" applyNumberFormat="1" applyFont="1" applyFill="1" applyBorder="1" applyAlignment="1">
      <alignment horizontal="center" vertical="center"/>
    </xf>
    <xf numFmtId="0" fontId="3" fillId="3" borderId="0" xfId="0" applyFont="1" applyFill="1" applyAlignment="1">
      <alignment horizontal="left" vertical="top" wrapText="1"/>
    </xf>
    <xf numFmtId="0" fontId="0" fillId="3" borderId="0" xfId="0" applyFill="1" applyAlignment="1">
      <alignment horizontal="left" vertical="top" wrapText="1"/>
    </xf>
    <xf numFmtId="0" fontId="12" fillId="6" borderId="17" xfId="0" applyFont="1" applyFill="1" applyBorder="1" applyAlignment="1">
      <alignment vertical="center" wrapText="1"/>
    </xf>
    <xf numFmtId="0" fontId="12" fillId="6" borderId="18" xfId="0" applyFont="1" applyFill="1" applyBorder="1" applyAlignment="1">
      <alignment vertical="center" wrapText="1"/>
    </xf>
    <xf numFmtId="0" fontId="12" fillId="6" borderId="0" xfId="0" applyFont="1" applyFill="1" applyBorder="1" applyAlignment="1">
      <alignment vertical="center" wrapText="1"/>
    </xf>
    <xf numFmtId="0" fontId="12" fillId="6" borderId="7" xfId="0" applyFont="1" applyFill="1" applyBorder="1" applyAlignment="1">
      <alignment vertical="center" wrapText="1"/>
    </xf>
    <xf numFmtId="0" fontId="12" fillId="6" borderId="9" xfId="0" applyFont="1" applyFill="1" applyBorder="1" applyAlignment="1">
      <alignment vertical="center" wrapText="1"/>
    </xf>
    <xf numFmtId="0" fontId="12" fillId="6" borderId="10" xfId="0" applyFont="1" applyFill="1" applyBorder="1" applyAlignment="1">
      <alignment vertical="center" wrapText="1"/>
    </xf>
  </cellXfs>
  <cellStyles count="16">
    <cellStyle name="Bom" xfId="1" builtinId="26"/>
    <cellStyle name="Hiperlink" xfId="15" builtinId="8"/>
    <cellStyle name="Moeda 2" xfId="6"/>
    <cellStyle name="Neutra" xfId="2" builtinId="28"/>
    <cellStyle name="Normal" xfId="0" builtinId="0"/>
    <cellStyle name="Normal 2" xfId="5"/>
    <cellStyle name="Normal 2 2" xfId="14"/>
    <cellStyle name="Normal 3" xfId="8"/>
    <cellStyle name="Normal 3 2" xfId="9"/>
    <cellStyle name="Normal 3 2 2" xfId="13"/>
    <cellStyle name="Porcentagem" xfId="3" builtinId="5"/>
    <cellStyle name="Porcentagem 2" xfId="12"/>
    <cellStyle name="Vírgula" xfId="4" builtinId="3"/>
    <cellStyle name="Vírgula 2" xfId="7"/>
    <cellStyle name="Vírgula 2 2" xfId="11"/>
    <cellStyle name="Vírgula 4" xfId="10"/>
  </cellStyles>
  <dxfs count="0"/>
  <tableStyles count="0" defaultTableStyle="TableStyleMedium2" defaultPivotStyle="PivotStyleLight16"/>
  <colors>
    <mruColors>
      <color rgb="FF008080"/>
      <color rgb="FF33CCCC"/>
      <color rgb="FF009999"/>
      <color rgb="FFF2F2F2"/>
      <color rgb="FFFFFFFF"/>
      <color rgb="FFF6FAF4"/>
      <color rgb="FFB9FFFF"/>
      <color rgb="FFD7E9E0"/>
      <color rgb="FFECFCFC"/>
      <color rgb="FFB2ED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57151</xdr:colOff>
      <xdr:row>1</xdr:row>
      <xdr:rowOff>19050</xdr:rowOff>
    </xdr:from>
    <xdr:to>
      <xdr:col>8</xdr:col>
      <xdr:colOff>571501</xdr:colOff>
      <xdr:row>2</xdr:row>
      <xdr:rowOff>533400</xdr:rowOff>
    </xdr:to>
    <xdr:pic>
      <xdr:nvPicPr>
        <xdr:cNvPr id="2" name="Imagem 2" descr="CAU-BR-timbrado2015-edit-13">
          <a:extLst>
            <a:ext uri="{FF2B5EF4-FFF2-40B4-BE49-F238E27FC236}">
              <a16:creationId xmlns="" xmlns:a16="http://schemas.microsoft.com/office/drawing/2014/main" id="{00000000-0008-0000-00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45" t="6757" r="17885" b="-6757"/>
        <a:stretch/>
      </xdr:blipFill>
      <xdr:spPr bwMode="auto">
        <a:xfrm>
          <a:off x="304801" y="219075"/>
          <a:ext cx="50863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xdr:row>
      <xdr:rowOff>0</xdr:rowOff>
    </xdr:from>
    <xdr:to>
      <xdr:col>19</xdr:col>
      <xdr:colOff>209550</xdr:colOff>
      <xdr:row>2</xdr:row>
      <xdr:rowOff>514350</xdr:rowOff>
    </xdr:to>
    <xdr:pic>
      <xdr:nvPicPr>
        <xdr:cNvPr id="3" name="Imagem 2" descr="CAU-BR-timbrado2015-edit-13">
          <a:extLst>
            <a:ext uri="{FF2B5EF4-FFF2-40B4-BE49-F238E27FC236}">
              <a16:creationId xmlns=""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45" t="6757" r="17885" b="-6757"/>
        <a:stretch/>
      </xdr:blipFill>
      <xdr:spPr bwMode="auto">
        <a:xfrm>
          <a:off x="6648450" y="200025"/>
          <a:ext cx="50863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0</xdr:row>
      <xdr:rowOff>0</xdr:rowOff>
    </xdr:from>
    <xdr:to>
      <xdr:col>11</xdr:col>
      <xdr:colOff>200025</xdr:colOff>
      <xdr:row>2</xdr:row>
      <xdr:rowOff>390525</xdr:rowOff>
    </xdr:to>
    <xdr:pic>
      <xdr:nvPicPr>
        <xdr:cNvPr id="1025" name="Imagem 2" descr="CAU-BR-timbrado2015-edit-13">
          <a:extLst>
            <a:ext uri="{FF2B5EF4-FFF2-40B4-BE49-F238E27FC236}">
              <a16:creationId xmlns=""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0"/>
          <a:ext cx="67246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31</xdr:row>
      <xdr:rowOff>32422</xdr:rowOff>
    </xdr:from>
    <xdr:to>
      <xdr:col>10</xdr:col>
      <xdr:colOff>569026</xdr:colOff>
      <xdr:row>53</xdr:row>
      <xdr:rowOff>19791</xdr:rowOff>
    </xdr:to>
    <xdr:pic>
      <xdr:nvPicPr>
        <xdr:cNvPr id="6" name="Imagem 5">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961675"/>
          <a:ext cx="6630390" cy="4069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352322</xdr:colOff>
      <xdr:row>29</xdr:row>
      <xdr:rowOff>13314</xdr:rowOff>
    </xdr:from>
    <xdr:to>
      <xdr:col>10</xdr:col>
      <xdr:colOff>444500</xdr:colOff>
      <xdr:row>29</xdr:row>
      <xdr:rowOff>476249</xdr:rowOff>
    </xdr:to>
    <xdr:sp macro="" textlink="">
      <xdr:nvSpPr>
        <xdr:cNvPr id="11" name="Retângulo de cantos arredondados 10">
          <a:extLst>
            <a:ext uri="{FF2B5EF4-FFF2-40B4-BE49-F238E27FC236}">
              <a16:creationId xmlns="" xmlns:a16="http://schemas.microsoft.com/office/drawing/2014/main" id="{00000000-0008-0000-0100-00000B000000}"/>
            </a:ext>
          </a:extLst>
        </xdr:cNvPr>
        <xdr:cNvSpPr/>
      </xdr:nvSpPr>
      <xdr:spPr>
        <a:xfrm>
          <a:off x="352322" y="6395064"/>
          <a:ext cx="6230511" cy="46293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pt-BR" sz="1500" b="1">
              <a:solidFill>
                <a:schemeClr val="tx1"/>
              </a:solidFill>
              <a:effectLst/>
              <a:latin typeface="+mn-lt"/>
              <a:ea typeface="+mn-ea"/>
              <a:cs typeface="+mn-cs"/>
            </a:rPr>
            <a:t>Torna-se</a:t>
          </a:r>
          <a:r>
            <a:rPr lang="pt-BR" sz="1500" b="1" baseline="0">
              <a:solidFill>
                <a:schemeClr val="tx1"/>
              </a:solidFill>
              <a:effectLst/>
              <a:latin typeface="+mn-lt"/>
              <a:ea typeface="+mn-ea"/>
              <a:cs typeface="+mn-cs"/>
            </a:rPr>
            <a:t> facultativo a utilização dos ODS na Programação 2020.</a:t>
          </a:r>
          <a:endParaRPr lang="pt-BR" sz="1500" b="1">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9525</xdr:rowOff>
        </xdr:from>
        <xdr:to>
          <xdr:col>10</xdr:col>
          <xdr:colOff>581025</xdr:colOff>
          <xdr:row>28</xdr:row>
          <xdr:rowOff>38100</xdr:rowOff>
        </xdr:to>
        <xdr:sp macro="" textlink="">
          <xdr:nvSpPr>
            <xdr:cNvPr id="1026" name="Object 2" hidden="1">
              <a:extLst>
                <a:ext uri="{63B3BB69-23CF-44E3-9099-C40C66FF867C}">
                  <a14:compatExt spid="_x0000_s1026"/>
                </a:ext>
                <a:ext uri="{FF2B5EF4-FFF2-40B4-BE49-F238E27FC236}">
                  <a16:creationId xmlns=""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146538</xdr:colOff>
      <xdr:row>0</xdr:row>
      <xdr:rowOff>0</xdr:rowOff>
    </xdr:from>
    <xdr:to>
      <xdr:col>3</xdr:col>
      <xdr:colOff>98983</xdr:colOff>
      <xdr:row>0</xdr:row>
      <xdr:rowOff>800100</xdr:rowOff>
    </xdr:to>
    <xdr:pic>
      <xdr:nvPicPr>
        <xdr:cNvPr id="2" name="Imagem 1" descr="CAU-BR-timbrado2015-edit-13">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46538" y="0"/>
          <a:ext cx="1723079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108007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xdr:rowOff>
    </xdr:from>
    <xdr:to>
      <xdr:col>6</xdr:col>
      <xdr:colOff>1387928</xdr:colOff>
      <xdr:row>1</xdr:row>
      <xdr:rowOff>993913</xdr:rowOff>
    </xdr:to>
    <xdr:pic>
      <xdr:nvPicPr>
        <xdr:cNvPr id="4119" name="Imagem 2" descr="CAU-BR-timbrado2015-edit-13">
          <a:extLst>
            <a:ext uri="{FF2B5EF4-FFF2-40B4-BE49-F238E27FC236}">
              <a16:creationId xmlns="" xmlns:a16="http://schemas.microsoft.com/office/drawing/2014/main" id="{00000000-0008-0000-0300-000017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
          <a:ext cx="8759450" cy="1187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0</xdr:row>
      <xdr:rowOff>0</xdr:rowOff>
    </xdr:from>
    <xdr:to>
      <xdr:col>7</xdr:col>
      <xdr:colOff>581025</xdr:colOff>
      <xdr:row>2</xdr:row>
      <xdr:rowOff>314325</xdr:rowOff>
    </xdr:to>
    <xdr:pic>
      <xdr:nvPicPr>
        <xdr:cNvPr id="5125" name="Imagem 2" descr="CAU-BR-timbrado2015-edit-13">
          <a:extLst>
            <a:ext uri="{FF2B5EF4-FFF2-40B4-BE49-F238E27FC236}">
              <a16:creationId xmlns="" xmlns:a16="http://schemas.microsoft.com/office/drawing/2014/main" id="{00000000-0008-0000-0400-000005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0"/>
          <a:ext cx="104203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36634</xdr:colOff>
      <xdr:row>0</xdr:row>
      <xdr:rowOff>12211</xdr:rowOff>
    </xdr:from>
    <xdr:to>
      <xdr:col>10</xdr:col>
      <xdr:colOff>1367692</xdr:colOff>
      <xdr:row>2</xdr:row>
      <xdr:rowOff>12212</xdr:rowOff>
    </xdr:to>
    <xdr:pic>
      <xdr:nvPicPr>
        <xdr:cNvPr id="3" name="Imagem 2" descr="CAU-BR-timbrado2015-edit-13">
          <a:extLst>
            <a:ext uri="{FF2B5EF4-FFF2-40B4-BE49-F238E27FC236}">
              <a16:creationId xmlns=""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34" y="12211"/>
          <a:ext cx="10880481" cy="915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0</xdr:row>
      <xdr:rowOff>0</xdr:rowOff>
    </xdr:from>
    <xdr:to>
      <xdr:col>9</xdr:col>
      <xdr:colOff>142875</xdr:colOff>
      <xdr:row>3</xdr:row>
      <xdr:rowOff>178594</xdr:rowOff>
    </xdr:to>
    <xdr:pic>
      <xdr:nvPicPr>
        <xdr:cNvPr id="3" name="Imagem 2" descr="CAU-BR-timbrado2015-edit-13">
          <a:extLst>
            <a:ext uri="{FF2B5EF4-FFF2-40B4-BE49-F238E27FC236}">
              <a16:creationId xmlns=""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0"/>
          <a:ext cx="8989219" cy="750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158750</xdr:colOff>
      <xdr:row>4</xdr:row>
      <xdr:rowOff>444500</xdr:rowOff>
    </xdr:to>
    <xdr:pic>
      <xdr:nvPicPr>
        <xdr:cNvPr id="2" name="Imagem 2" descr="CAU-BR-timbrado2015-edit-13">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30984825"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atriciagomo/Desktop/Reprograma&#231;&#227;o%202020/Tabelas%20Diretrizes%20-%20Reprog%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0.103\fs-caubr\ASSESSORIA%20DE%20PLANEJAMENTO%20E%20GESTAO%20DA%20ESTRATEGIA\2020\Programa&#231;&#227;o\PARECERES\Finalizados\Finalizados\Parecer%20Programa&#231;&#227;o%202020_CAU_BA_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68cadf96be174c7/Documentos/CAU%20BA/1&#170;%20Reprograma&#231;&#227;o%20Or&#231;ament&#225;ria%202020/Plano%20de%20A&#231;&#227;o%20Programa&#231;&#227;o%202020_CAUBA%20-%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lano%20de%20A&#231;&#227;o%20Programa&#231;&#227;o%202020_CAUBA%20-%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1"/>
      <sheetName val="QUADRO 2"/>
      <sheetName val="QUADRO 3"/>
      <sheetName val="QUADRO 4"/>
      <sheetName val="Simulação de %"/>
      <sheetName val="Estudos - Receita"/>
      <sheetName val="ANEXO I"/>
      <sheetName val="ANEXO II"/>
      <sheetName val="ANEXO III e Anexo IX"/>
      <sheetName val="Estudos - Quant. PF"/>
      <sheetName val="NOVOS EGRESSOS"/>
      <sheetName val="Estudos-Percentuais"/>
      <sheetName val="ANEXO IV"/>
      <sheetName val="ANEXO V"/>
      <sheetName val="Estudos - Quant. PJ"/>
      <sheetName val="ANEXO VI"/>
      <sheetName val="ANEXO VII"/>
      <sheetName val="ANEXO VIII"/>
      <sheetName val="ANEXO X Aporte FA"/>
      <sheetName val="ANEXO X.I Repasse FA"/>
      <sheetName val="ANEXO XI CSC Total"/>
      <sheetName val="ANEXO XI.I CSC RIA"/>
      <sheetName val="ANEXO XI.II CSC Essencial"/>
      <sheetName val="ANEXO XI.III - RIA Enc. dContas"/>
      <sheetName val="ANEXO XII"/>
      <sheetName val="XIII. TAXAS BANCÁRIAS"/>
      <sheetName val="NOVO SISCAF"/>
      <sheetName val="Gráficos e Tabelas"/>
      <sheetName val="Resumo - Ajuste pelos UFs"/>
      <sheetName val="Resumo"/>
    </sheetNames>
    <sheetDataSet>
      <sheetData sheetId="0" refreshError="1"/>
      <sheetData sheetId="1" refreshError="1"/>
      <sheetData sheetId="2" refreshError="1"/>
      <sheetData sheetId="3" refreshError="1"/>
      <sheetData sheetId="4" refreshError="1"/>
      <sheetData sheetId="5">
        <row r="1">
          <cell r="XFB1">
            <v>0.05</v>
          </cell>
        </row>
        <row r="2">
          <cell r="XFB2">
            <v>0.1</v>
          </cell>
        </row>
        <row r="3">
          <cell r="XFB3">
            <v>0.15</v>
          </cell>
        </row>
        <row r="4">
          <cell r="XFB4">
            <v>0.2</v>
          </cell>
        </row>
        <row r="5">
          <cell r="XFB5">
            <v>0.25</v>
          </cell>
        </row>
        <row r="6">
          <cell r="XFB6">
            <v>0.3</v>
          </cell>
        </row>
        <row r="7">
          <cell r="XFB7">
            <v>0.35</v>
          </cell>
        </row>
        <row r="8">
          <cell r="XFB8">
            <v>0.4</v>
          </cell>
        </row>
        <row r="9">
          <cell r="XFB9">
            <v>0.45</v>
          </cell>
        </row>
        <row r="10">
          <cell r="XFB10">
            <v>0.5</v>
          </cell>
        </row>
        <row r="11">
          <cell r="XFB11">
            <v>0.55000000000000004</v>
          </cell>
        </row>
        <row r="12">
          <cell r="XFB12">
            <v>0.6</v>
          </cell>
        </row>
        <row r="13">
          <cell r="XFB13">
            <v>0.65</v>
          </cell>
        </row>
        <row r="14">
          <cell r="XFB14">
            <v>0.7</v>
          </cell>
        </row>
        <row r="15">
          <cell r="XFB15">
            <v>0.75</v>
          </cell>
        </row>
        <row r="16">
          <cell r="XFB16">
            <v>0.8</v>
          </cell>
        </row>
        <row r="17">
          <cell r="XFB17">
            <v>0.85</v>
          </cell>
        </row>
        <row r="18">
          <cell r="XFB18">
            <v>0.9</v>
          </cell>
        </row>
        <row r="19">
          <cell r="XFB19">
            <v>0.95</v>
          </cell>
        </row>
        <row r="20">
          <cell r="XFB20">
            <v>1</v>
          </cell>
        </row>
      </sheetData>
      <sheetData sheetId="6">
        <row r="5">
          <cell r="C5">
            <v>586</v>
          </cell>
        </row>
      </sheetData>
      <sheetData sheetId="7" refreshError="1"/>
      <sheetData sheetId="8">
        <row r="6">
          <cell r="AX6">
            <v>67439.888000000006</v>
          </cell>
        </row>
      </sheetData>
      <sheetData sheetId="9" refreshError="1"/>
      <sheetData sheetId="10" refreshError="1"/>
      <sheetData sheetId="11" refreshError="1"/>
      <sheetData sheetId="12" refreshError="1"/>
      <sheetData sheetId="13" refreshError="1"/>
      <sheetData sheetId="14">
        <row r="2">
          <cell r="J2" t="str">
            <v>PJ até 2 anos com sócio AU formado até 2 anos</v>
          </cell>
          <cell r="L2" t="str">
            <v>Relatório 14</v>
          </cell>
          <cell r="M2">
            <v>0</v>
          </cell>
          <cell r="N2">
            <v>0</v>
          </cell>
          <cell r="O2">
            <v>0</v>
          </cell>
        </row>
        <row r="3">
          <cell r="L3">
            <v>0</v>
          </cell>
          <cell r="M3">
            <v>0</v>
          </cell>
          <cell r="N3">
            <v>0</v>
          </cell>
          <cell r="O3">
            <v>0</v>
          </cell>
        </row>
        <row r="4">
          <cell r="L4" t="str">
            <v>Situação de Registro Ativo</v>
          </cell>
          <cell r="M4" t="str">
            <v>Inativos</v>
          </cell>
          <cell r="N4" t="str">
            <v>Pagantes</v>
          </cell>
          <cell r="O4" t="str">
            <v>0/1</v>
          </cell>
        </row>
        <row r="5">
          <cell r="N5">
            <v>32</v>
          </cell>
          <cell r="O5">
            <v>7</v>
          </cell>
        </row>
        <row r="6">
          <cell r="N6">
            <v>63</v>
          </cell>
          <cell r="O6">
            <v>12</v>
          </cell>
        </row>
        <row r="7">
          <cell r="N7">
            <v>37</v>
          </cell>
          <cell r="O7">
            <v>10</v>
          </cell>
        </row>
        <row r="8">
          <cell r="N8">
            <v>89</v>
          </cell>
          <cell r="O8">
            <v>12</v>
          </cell>
        </row>
        <row r="9">
          <cell r="N9">
            <v>56</v>
          </cell>
          <cell r="O9">
            <v>13</v>
          </cell>
        </row>
        <row r="10">
          <cell r="N10">
            <v>14</v>
          </cell>
          <cell r="O10">
            <v>0</v>
          </cell>
        </row>
        <row r="11">
          <cell r="N11">
            <v>41</v>
          </cell>
          <cell r="O11">
            <v>5</v>
          </cell>
        </row>
        <row r="12">
          <cell r="N12">
            <v>332</v>
          </cell>
          <cell r="O12">
            <v>59</v>
          </cell>
        </row>
        <row r="13">
          <cell r="N13">
            <v>41</v>
          </cell>
          <cell r="O13">
            <v>5</v>
          </cell>
        </row>
        <row r="14">
          <cell r="N14">
            <v>283</v>
          </cell>
          <cell r="O14">
            <v>28</v>
          </cell>
        </row>
        <row r="15">
          <cell r="N15">
            <v>139</v>
          </cell>
          <cell r="O15">
            <v>7</v>
          </cell>
        </row>
        <row r="16">
          <cell r="N16">
            <v>49</v>
          </cell>
          <cell r="O16">
            <v>5</v>
          </cell>
        </row>
        <row r="17">
          <cell r="N17">
            <v>87</v>
          </cell>
          <cell r="O17">
            <v>11</v>
          </cell>
        </row>
        <row r="18">
          <cell r="N18">
            <v>205</v>
          </cell>
          <cell r="O18">
            <v>19</v>
          </cell>
        </row>
        <row r="19">
          <cell r="N19">
            <v>70</v>
          </cell>
          <cell r="O19">
            <v>13</v>
          </cell>
        </row>
        <row r="20">
          <cell r="N20">
            <v>72</v>
          </cell>
          <cell r="O20">
            <v>6</v>
          </cell>
        </row>
        <row r="21">
          <cell r="N21">
            <v>57</v>
          </cell>
          <cell r="O21">
            <v>6</v>
          </cell>
        </row>
        <row r="22">
          <cell r="N22">
            <v>1003</v>
          </cell>
          <cell r="O22">
            <v>100</v>
          </cell>
        </row>
        <row r="23">
          <cell r="N23">
            <v>222</v>
          </cell>
          <cell r="O23">
            <v>27</v>
          </cell>
        </row>
        <row r="24">
          <cell r="N24">
            <v>212</v>
          </cell>
          <cell r="O24">
            <v>47</v>
          </cell>
        </row>
        <row r="25">
          <cell r="N25">
            <v>182</v>
          </cell>
          <cell r="O25">
            <v>26</v>
          </cell>
        </row>
        <row r="26">
          <cell r="N26">
            <v>172</v>
          </cell>
          <cell r="O26">
            <v>22</v>
          </cell>
        </row>
        <row r="27">
          <cell r="N27">
            <v>788</v>
          </cell>
          <cell r="O27">
            <v>122</v>
          </cell>
        </row>
        <row r="28">
          <cell r="N28">
            <v>225</v>
          </cell>
          <cell r="O28">
            <v>13</v>
          </cell>
        </row>
        <row r="29">
          <cell r="N29">
            <v>738</v>
          </cell>
          <cell r="O29">
            <v>69</v>
          </cell>
        </row>
        <row r="30">
          <cell r="N30">
            <v>1078</v>
          </cell>
          <cell r="O30">
            <v>82</v>
          </cell>
        </row>
        <row r="31">
          <cell r="N31">
            <v>3458</v>
          </cell>
          <cell r="O31">
            <v>154</v>
          </cell>
        </row>
        <row r="32">
          <cell r="N32">
            <v>5499</v>
          </cell>
          <cell r="O32">
            <v>318</v>
          </cell>
        </row>
        <row r="33">
          <cell r="N33">
            <v>1058</v>
          </cell>
          <cell r="O33">
            <v>125</v>
          </cell>
        </row>
        <row r="34">
          <cell r="N34">
            <v>949</v>
          </cell>
          <cell r="O34">
            <v>87</v>
          </cell>
        </row>
        <row r="35">
          <cell r="N35">
            <v>649</v>
          </cell>
          <cell r="O35">
            <v>70</v>
          </cell>
        </row>
        <row r="36">
          <cell r="N36">
            <v>2656</v>
          </cell>
          <cell r="O36">
            <v>282</v>
          </cell>
        </row>
        <row r="37">
          <cell r="N37">
            <v>10278</v>
          </cell>
          <cell r="O37">
            <v>881</v>
          </cell>
        </row>
      </sheetData>
      <sheetData sheetId="15" refreshError="1"/>
      <sheetData sheetId="16" refreshError="1"/>
      <sheetData sheetId="17" refreshError="1"/>
      <sheetData sheetId="18">
        <row r="3">
          <cell r="A3" t="str">
            <v>SP</v>
          </cell>
        </row>
      </sheetData>
      <sheetData sheetId="19">
        <row r="30">
          <cell r="A30" t="str">
            <v>RR</v>
          </cell>
        </row>
      </sheetData>
      <sheetData sheetId="20">
        <row r="3">
          <cell r="D3">
            <v>2726.8547648527197</v>
          </cell>
        </row>
      </sheetData>
      <sheetData sheetId="21" refreshError="1"/>
      <sheetData sheetId="22" refreshError="1"/>
      <sheetData sheetId="23">
        <row r="2">
          <cell r="A2" t="str">
            <v>AC</v>
          </cell>
        </row>
      </sheetData>
      <sheetData sheetId="24">
        <row r="10">
          <cell r="A10" t="str">
            <v>RR</v>
          </cell>
        </row>
      </sheetData>
      <sheetData sheetId="25">
        <row r="3">
          <cell r="A3" t="str">
            <v>AC</v>
          </cell>
        </row>
      </sheetData>
      <sheetData sheetId="26" refreshError="1"/>
      <sheetData sheetId="27" refreshError="1"/>
      <sheetData sheetId="28" refreshError="1"/>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do Parecer"/>
      <sheetName val="Análise Geral"/>
      <sheetName val="Mapa Situacional I"/>
      <sheetName val="Mapa Situacional II"/>
      <sheetName val="Orientações Iniciais"/>
      <sheetName val="Mapa Estratégico e ODS"/>
      <sheetName val="Indicadores e Metas"/>
      <sheetName val="FORM.1"/>
      <sheetName val="FORM.2"/>
      <sheetName val="FORM.3"/>
      <sheetName val="FORM.4"/>
      <sheetName val="FORM.5"/>
      <sheetName val="Parecer"/>
      <sheetName val="Anexo 1.4-Presidência"/>
      <sheetName val="Anexo 1.4-Direção Geral"/>
      <sheetName val="Anexo 1.4-G. Técnica"/>
      <sheetName val="Anexo 1.4- G. Operações"/>
      <sheetName val="Anexo 1.4-G. ADM Financeira"/>
      <sheetName val="Anexo 1.4-Ass. Jurídica"/>
      <sheetName val="Anexo 1.4-Com. Ética"/>
      <sheetName val="Anexo 1.4-Com. Atos"/>
      <sheetName val="Anexo 1.4-Com. Exercício"/>
      <sheetName val="Anexo 1.4-Com. Planejamento"/>
      <sheetName val="Anexo 1.4-Com. Ensino"/>
      <sheetName val="Anexo 1.4-Com. P. Profissional"/>
      <sheetName val="Anexo 1.4-Com. P. Urbanas"/>
      <sheetName val="Anexo 1.4-Plenária"/>
      <sheetName val="Anexo 1.4-Dia Arquiteto"/>
      <sheetName val="Anexo 1.4-APC"/>
      <sheetName val="Anexo 1.4-Patrocínio"/>
      <sheetName val="Anexo 1.4-Fundo Apoio"/>
      <sheetName val="Anexo 1.4-Comunicação"/>
      <sheetName val="Anexo 1.4-Capacitação"/>
      <sheetName val="Anexo 1.4-Assist. Técnica"/>
      <sheetName val="Anexo 1.4-G. Atendimento"/>
      <sheetName val="Anexo 1.4-Reforma Sede CAUBA"/>
      <sheetName val="Anexo 1.4-Aquisição Equipamento"/>
      <sheetName val="Anexo 1.4-CSC Fiscalização"/>
      <sheetName val="Anexo 1.4-CSC Atendimento"/>
      <sheetName val="Anexo 1.4-G. Fiscalização"/>
      <sheetName val="Anexo 1.4-Reserva Contingência"/>
      <sheetName val="Anexo 1.4-Aquisição Sede"/>
      <sheetName val="Anexo 1.4-Eleições"/>
      <sheetName val="Anexo 1.4-Concurso"/>
      <sheetName val="Resumo"/>
      <sheetName val="Ações Estratégicas - Descrição"/>
    </sheetNames>
    <sheetDataSet>
      <sheetData sheetId="0" refreshError="1"/>
      <sheetData sheetId="1" refreshError="1"/>
      <sheetData sheetId="2" refreshError="1"/>
      <sheetData sheetId="3" refreshError="1"/>
      <sheetData sheetId="4" refreshError="1"/>
      <sheetData sheetId="5" refreshError="1"/>
      <sheetData sheetId="6" refreshError="1">
        <row r="7">
          <cell r="F7">
            <v>0.46282973621103118</v>
          </cell>
        </row>
        <row r="11">
          <cell r="F11">
            <v>0.23</v>
          </cell>
        </row>
        <row r="13">
          <cell r="F13">
            <v>7.5999999999999998E-2</v>
          </cell>
        </row>
        <row r="15">
          <cell r="F15">
            <v>0.26910326537377754</v>
          </cell>
        </row>
        <row r="19">
          <cell r="F19">
            <v>0.8</v>
          </cell>
        </row>
        <row r="24">
          <cell r="F24">
            <v>0.85</v>
          </cell>
        </row>
        <row r="26">
          <cell r="F26">
            <v>0.75</v>
          </cell>
        </row>
        <row r="29">
          <cell r="F29">
            <v>8.6636381612052414E-3</v>
          </cell>
        </row>
        <row r="31">
          <cell r="F31">
            <v>1</v>
          </cell>
        </row>
        <row r="36">
          <cell r="F36">
            <v>0.1342925659472422</v>
          </cell>
        </row>
        <row r="44">
          <cell r="F44">
            <v>70000</v>
          </cell>
        </row>
        <row r="50">
          <cell r="F50">
            <v>0.95</v>
          </cell>
        </row>
        <row r="52">
          <cell r="F52">
            <v>0.5</v>
          </cell>
        </row>
        <row r="55">
          <cell r="F55">
            <v>1.309884768868069</v>
          </cell>
        </row>
        <row r="58">
          <cell r="F58">
            <v>627.94169401624401</v>
          </cell>
        </row>
        <row r="60">
          <cell r="F60">
            <v>0.42709880061838912</v>
          </cell>
        </row>
        <row r="62">
          <cell r="F62">
            <v>16.78</v>
          </cell>
        </row>
        <row r="64">
          <cell r="F64">
            <v>0.21099999999999999</v>
          </cell>
        </row>
        <row r="66">
          <cell r="F66">
            <v>0.33800000000000002</v>
          </cell>
        </row>
        <row r="69">
          <cell r="F69">
            <v>0.7</v>
          </cell>
        </row>
        <row r="72">
          <cell r="F72">
            <v>5</v>
          </cell>
        </row>
      </sheetData>
      <sheetData sheetId="7" refreshError="1"/>
      <sheetData sheetId="8" refreshError="1">
        <row r="7">
          <cell r="A7" t="str">
            <v>Presidência</v>
          </cell>
          <cell r="D7" t="str">
            <v>Articulação Institucional e fomento de parcerias estratégicas.</v>
          </cell>
          <cell r="E7" t="str">
            <v>Prover recursos humanos e materiais para articular parcerias e estimular práticas voltadas a valorização e fiscalização profissional</v>
          </cell>
          <cell r="F7" t="str">
            <v>Assegurar a eficácia no relacionamento e comunicação com a sociedade</v>
          </cell>
          <cell r="H7" t="str">
            <v>Fortalecimento e sedimentação da missão e visão do sistema CAU em face da sociedade, profissionais, instituições públicas e privadas.</v>
          </cell>
          <cell r="J7">
            <v>177515.73</v>
          </cell>
        </row>
        <row r="8">
          <cell r="A8" t="str">
            <v>Direção Geral</v>
          </cell>
          <cell r="D8" t="str">
            <v>Manutenção Institucional</v>
          </cell>
          <cell r="E8" t="str">
            <v>Prover  a estruturação, seja por meio de recursos humanos, equipamentos,  materiais e tecnologia  para execução das atividades das diversas unidades e comissões regimentais e não regimentais do CAU/BA</v>
          </cell>
          <cell r="F8" t="str">
            <v>Construir cultura organizacional adequada à estratégia</v>
          </cell>
          <cell r="H8" t="str">
            <v>Manter a continuidade dos serviços e atividades do CAU/BA; Assegurar o bom funcionamento, manter a organização e promover a estruturação necessária para garantia da eficácia dos serviços, desde o atendimento, fomento à valorização profissional e fiscalização.</v>
          </cell>
          <cell r="J8">
            <v>600626.67000000004</v>
          </cell>
        </row>
        <row r="9">
          <cell r="A9" t="str">
            <v>Gerência Técnica</v>
          </cell>
          <cell r="D9" t="str">
            <v>Orientação, esclarecimento e atendimento de demandas de profissionais e empresas</v>
          </cell>
          <cell r="E9" t="str">
            <v xml:space="preserve">Orientar, disciplinar e promover o exercício qualificado da Arquitetura e Urbanismo </v>
          </cell>
          <cell r="F9" t="str">
            <v>Assegurar a eficácia no atendimento e no relacionamento com os Arquitetos e Urbanistas e a Sociedade</v>
          </cell>
          <cell r="H9" t="str">
            <v xml:space="preserve">Melhorar quantitativamente e qualitativamente o atendimento prestado aos profissionais e empresas </v>
          </cell>
          <cell r="J9">
            <v>287629.05</v>
          </cell>
        </row>
        <row r="10">
          <cell r="A10" t="str">
            <v>Gerência de Operações</v>
          </cell>
          <cell r="D10" t="str">
            <v>Operacionalização dos processos éticos e de multa/fiscalização</v>
          </cell>
          <cell r="E10" t="str">
            <v>Prover recursos humanos e materiais para operacionalizar, planejar e identificar o segmento técnico fiscalizável  e no âmbito do Estado da Bahia, além de prover a estruturação dos processos éticos.</v>
          </cell>
          <cell r="F10" t="str">
            <v>Promover o exercício ético e qualificado da profissão</v>
          </cell>
          <cell r="H10" t="str">
            <v>Contribuir para a maximização das ações de fiscalização com utilização de mecanismos inovadores para sua efetivação; Contribuir para a maximização das ações disciplinares éticas.</v>
          </cell>
          <cell r="J10">
            <v>123589.73</v>
          </cell>
        </row>
        <row r="11">
          <cell r="A11" t="str">
            <v>Gerência Adm. Financeira</v>
          </cell>
          <cell r="D11" t="str">
            <v>Manutenção Administrativa financeira</v>
          </cell>
          <cell r="E11" t="str">
            <v>Prover recursos humanos e materiais, operacionalizar e planejar a continuidade das ações administrativas e financeiras do CAU/BA, zelando pelo equilíbrio das contas e da contratação mais vantajosa para o Conselho.</v>
          </cell>
          <cell r="F11" t="str">
            <v>Assegurar a sustentabilidade financeira</v>
          </cell>
          <cell r="H11" t="str">
            <v>Melhoria no gerenciamento do fluxo de pagamentos e contratações, com vistas a estruturar rotinas eficazes de gestão.</v>
          </cell>
          <cell r="J11">
            <v>440341.65</v>
          </cell>
        </row>
        <row r="12">
          <cell r="A12" t="str">
            <v>Assessoria Jurídica</v>
          </cell>
          <cell r="D12" t="str">
            <v>Consultoria e Assessoria Jurídica</v>
          </cell>
          <cell r="E12" t="str">
            <v>Prover recursos humanos e materiais para estruturar, organizar e manter em funcionamento a Assessoria Jurídica do CAU-BA.</v>
          </cell>
          <cell r="F12" t="str">
            <v>Aprimorar e inovar os processos e as ações</v>
          </cell>
          <cell r="H12" t="str">
            <v>Elevar o conhecimento dos colaboradores em normativos aplicáveis a autarquia CAU/BA, compartilhando informações e procedimentos</v>
          </cell>
          <cell r="J12">
            <v>185160.41</v>
          </cell>
        </row>
        <row r="13">
          <cell r="A13" t="str">
            <v>Comissão de Ética</v>
          </cell>
          <cell r="D13" t="str">
            <v>Operacionalização e processamento dos  processos éticos</v>
          </cell>
          <cell r="E13" t="str">
            <v>Prover recursos humanos e materiais visando o processamento das demandas ético-disciplinares</v>
          </cell>
          <cell r="F13" t="str">
            <v>Promover o exercício ético e qualificado da profissão</v>
          </cell>
          <cell r="H13" t="str">
            <v>Contribuir para a otimização e agilização dos processos administrativos ético-disciplinares no âmbito do CAU/BA</v>
          </cell>
          <cell r="J13">
            <v>146942.13</v>
          </cell>
        </row>
        <row r="14">
          <cell r="A14" t="str">
            <v>Comissão de Atos Administrativos</v>
          </cell>
          <cell r="D14" t="str">
            <v>Assessoramento organizacional-institucional</v>
          </cell>
          <cell r="E14" t="str">
            <v>Prover recursos humanos e materiais visando a estruturação e organização dos normativos do CAU/BA.</v>
          </cell>
          <cell r="F14" t="str">
            <v>Aprimorar e inovar os processos e as ações</v>
          </cell>
          <cell r="H14" t="str">
            <v>Contribuir para a otimização e agilização dos procedimentos operacionais e administrativos no âmbito do CAU/BA.</v>
          </cell>
          <cell r="J14">
            <v>11387</v>
          </cell>
        </row>
        <row r="15">
          <cell r="A15" t="str">
            <v>Comissão de Exercício Profissional e Fiscalização</v>
          </cell>
          <cell r="D15" t="str">
            <v>Operacionalização da Fiscalização e fomento da valorização profissional</v>
          </cell>
          <cell r="E15" t="str">
            <v>Prover recursos humanos e materiais visando a estruturação e organização das ações de valorização profissional e de fiscalização.</v>
          </cell>
          <cell r="F15" t="str">
            <v>Tornar a fiscalização um vetor de melhoria do exercício da Arquitetura e Urbanismo</v>
          </cell>
          <cell r="H15" t="str">
            <v>Contribuir para a efetivação da fiscalização, mediante análise comparativa de dados, cumprimento de diligências, participação da sociedade, com vistas a assegurar a melhoria do exercício profissional do Arquiteto e Urbanista.</v>
          </cell>
          <cell r="J15">
            <v>40000</v>
          </cell>
        </row>
        <row r="16">
          <cell r="A16" t="str">
            <v>Comissão de Planejamento e Finanças</v>
          </cell>
          <cell r="D16" t="str">
            <v>Operacionalização, Planejamento e Controle do CAU</v>
          </cell>
          <cell r="E16" t="str">
            <v>Prover recursos humanos e materiais visando a estruturação e organização do planejamento e de controle do CAU/BA</v>
          </cell>
          <cell r="F16" t="str">
            <v>Assegurar a sustentabilidade financeira</v>
          </cell>
          <cell r="H16" t="str">
            <v>Contribuir para a otimização e agilização dos procedimentos de planejamento e de controle no âmbito do CAU/BA</v>
          </cell>
          <cell r="J16">
            <v>33000</v>
          </cell>
        </row>
        <row r="17">
          <cell r="A17" t="str">
            <v>Comissão de Ensino</v>
          </cell>
          <cell r="D17" t="str">
            <v>Fomento ao aperfeiçoamento e à formação profissional</v>
          </cell>
          <cell r="E17" t="str">
            <v>Prover recursos humanos e materiais visando a estruturação e organização da educação continuada e de formação profissional no âmbito do CAU/BA.</v>
          </cell>
          <cell r="F17" t="str">
            <v>Influenciar as diretrizes do ensino de Arquitetura e Urbanismo e sua formação continuada</v>
          </cell>
          <cell r="H17" t="str">
            <v>Contribuir para a otimização e agilização dos procedimentos internos no âmbito do CAU/BA vinculados ao ensino e formação.</v>
          </cell>
          <cell r="J17">
            <v>44000</v>
          </cell>
        </row>
        <row r="18">
          <cell r="A18" t="str">
            <v>Comissão Especial de Política Profissional</v>
          </cell>
          <cell r="D18" t="str">
            <v>Fomento a ações que buscam promover melhorias da prática profissional</v>
          </cell>
          <cell r="E18" t="str">
            <v>Prover recursos técnicos visando a estruturação ao empreendedorismo dos arquitetos e urbanistas</v>
          </cell>
          <cell r="F18" t="str">
            <v>Aprimorar e inovar os processos e as ações</v>
          </cell>
          <cell r="H18" t="str">
            <v>Contribuir para a disseminação da cultura empreendedora e organização da atividade profissional sob a perspectiva dos negócios</v>
          </cell>
          <cell r="J18">
            <v>5000</v>
          </cell>
        </row>
        <row r="19">
          <cell r="A19" t="str">
            <v>Comissão Especial Política Urbana</v>
          </cell>
          <cell r="D19" t="str">
            <v>Fomento a ações que buscam promover melhorias da política urbana estadual</v>
          </cell>
          <cell r="E19" t="str">
            <v>Prover recursos técnicos visando opinar sobre matérias com impacto urbanista</v>
          </cell>
          <cell r="F19" t="str">
            <v>Garantir a participação dos Arquitetos e Urbanistas no planejamento territorial e na gestão urbana</v>
          </cell>
          <cell r="H19" t="str">
            <v>Contribuir para a inserção da arquitetura nos planos gerais e parciais de urbanização ou reurbanização das cidades do estado da Bahia</v>
          </cell>
          <cell r="J19">
            <v>5000</v>
          </cell>
        </row>
        <row r="20">
          <cell r="A20" t="str">
            <v>Plenária</v>
          </cell>
          <cell r="D20" t="str">
            <v>Operacionalização das reuniões institucionais regimentais</v>
          </cell>
          <cell r="E20" t="str">
            <v>Intercambiar informações e atualizar as diretrizes de atuação no âmbito Estadual</v>
          </cell>
          <cell r="F20" t="str">
            <v>Estimular a produção da Arquitetura e Urbanismo como política de Estado</v>
          </cell>
          <cell r="H20" t="str">
            <v>Prover recursos humanos e materiais visando a estruturação e organização das ações do Plenário do âmbito do CAU/BA</v>
          </cell>
          <cell r="J20">
            <v>90000</v>
          </cell>
        </row>
        <row r="21">
          <cell r="A21" t="str">
            <v>Presidência</v>
          </cell>
          <cell r="D21" t="str">
            <v>Dia do Arquiteto</v>
          </cell>
          <cell r="E21" t="str">
            <v>Promover evento que fomente a dignificação da Arquitetura por meio do intercâmbio de informações técnico-temático</v>
          </cell>
          <cell r="F21" t="str">
            <v>Assegurar a eficácia no relacionamento e comunicação com a sociedade</v>
          </cell>
          <cell r="H21" t="str">
            <v>Intensificar e aproximar O CAU/BA com seu público-alvo e a sociedade em geral, além de aprimorar a atuação profissional, por meio do fomento ao aperfeiçoamento profissional.</v>
          </cell>
          <cell r="J21">
            <v>100000</v>
          </cell>
        </row>
        <row r="22">
          <cell r="A22" t="str">
            <v>Direção Geral</v>
          </cell>
          <cell r="D22" t="str">
            <v>APC - Aperfeiçoamento Profissional Continuado</v>
          </cell>
          <cell r="E22" t="str">
            <v>Construir parcerias e identificar temáticas que contribuam para a maturação do conteúdo de formação profissional</v>
          </cell>
          <cell r="F22" t="str">
            <v>Assegurar a eficácia no atendimento e no relacionamento com os Arquitetos e Urbanistas e a Sociedade</v>
          </cell>
          <cell r="H22" t="str">
            <v>Dotar o CAU/BA de rotina continuada de fomento e de valorização profissional</v>
          </cell>
          <cell r="J22">
            <v>195000</v>
          </cell>
        </row>
        <row r="23">
          <cell r="A23" t="str">
            <v>Presidência</v>
          </cell>
          <cell r="D23" t="str">
            <v>Patrocínio</v>
          </cell>
          <cell r="E23" t="str">
            <v>Intensificar parcerias voltadas ao desenvolvimento da Arquitetura e Urbanismo</v>
          </cell>
          <cell r="F23" t="str">
            <v>Estimular o conhecimento, o uso de processos criativos e a difusão das melhores práticas em Arquitetura e Urbanismo</v>
          </cell>
          <cell r="H23" t="str">
            <v>Estruturar e solidificar parcerias estratégicas</v>
          </cell>
          <cell r="J23">
            <v>55000</v>
          </cell>
        </row>
        <row r="24">
          <cell r="A24" t="str">
            <v>Gerência Adm. Financeira</v>
          </cell>
          <cell r="D24" t="str">
            <v>Aporte ao Fundo de Apoio</v>
          </cell>
          <cell r="E24" t="str">
            <v>Contribuir para estruturação e distribuição de recursos vinculadas a constituição de Fundo de Apoio.</v>
          </cell>
          <cell r="F24" t="str">
            <v>Assegurar a sustentabilidade financeira</v>
          </cell>
          <cell r="H24" t="str">
            <v>Participação na estruturação de organização sistêmica nacional</v>
          </cell>
          <cell r="J24">
            <v>70882</v>
          </cell>
        </row>
        <row r="25">
          <cell r="A25" t="str">
            <v>Direção Geral</v>
          </cell>
          <cell r="D25" t="str">
            <v>Comunicação Institucional</v>
          </cell>
          <cell r="E25" t="str">
            <v>Prover recursos humanos e materiais para promover e disseminar a  missão, visão,  consolidando a marca CAU/BA</v>
          </cell>
          <cell r="F25" t="str">
            <v>Assegurar a eficácia no relacionamento e comunicação com a sociedade</v>
          </cell>
          <cell r="H25" t="str">
            <v>Solidificar a imagem, a marca e a missão do CAU/BA enquanto instituição que busca promover a Arquitetura para todos, em defesa da sociedade</v>
          </cell>
          <cell r="J25">
            <v>150000</v>
          </cell>
        </row>
        <row r="26">
          <cell r="A26" t="str">
            <v>Direção Geral</v>
          </cell>
          <cell r="D26" t="str">
            <v>Programa de Capacitação dos Colaboradores</v>
          </cell>
          <cell r="E26" t="str">
            <v>Direcionar o profissional a um processo de educação, reciclagem e alteração de comportamento</v>
          </cell>
          <cell r="F26" t="str">
            <v>Desenvolver competências de dirigentes e colaboradores</v>
          </cell>
          <cell r="H26" t="str">
            <v>Dotar o CAU/BA de rotina continuada de fomento e de valorização dos colaboradores</v>
          </cell>
          <cell r="J26">
            <v>33000</v>
          </cell>
        </row>
        <row r="27">
          <cell r="A27" t="str">
            <v>Comissão de Assistência Técnica</v>
          </cell>
          <cell r="D27" t="str">
            <v>Programa de Assistência Técnica</v>
          </cell>
          <cell r="E27" t="str">
            <v>Disseminar e sensibilizar a assistência técnica pública e gratuita para o projeto e a construção de habitação de interesse social, como parte integrante do direito social à moradia previsto.</v>
          </cell>
          <cell r="F27" t="str">
            <v>Fomentar o acesso da sociedade à Arquitetura e Urbanismo</v>
          </cell>
          <cell r="H27" t="str">
            <v>Valorização e disseminação da cultura da Assistência Técnica</v>
          </cell>
          <cell r="J27">
            <v>76000</v>
          </cell>
        </row>
        <row r="28">
          <cell r="A28" t="str">
            <v>Gerência de Atendimento</v>
          </cell>
          <cell r="D28" t="str">
            <v>Atendimento da Sociedade e arquitetos e urbanistas</v>
          </cell>
          <cell r="E28" t="str">
            <v>Aperfeiçoar o atendimento aos públicos interno e externo e  aprimorar o relacionamento com a sociedade</v>
          </cell>
          <cell r="F28" t="str">
            <v>Assegurar a eficácia no atendimento e no relacionamento com os Arquitetos e Urbanistas e a Sociedade</v>
          </cell>
          <cell r="H28" t="str">
            <v>Aperfeiçoar a qualidade do atendimento prestado aos públicos interno e externo.</v>
          </cell>
          <cell r="J28">
            <v>296794.26</v>
          </cell>
        </row>
        <row r="29">
          <cell r="A29" t="str">
            <v>Presidência</v>
          </cell>
          <cell r="D29" t="str">
            <v>Reforma sede CAU/BA</v>
          </cell>
          <cell r="E29" t="str">
            <v>Reestruturação dos espaços e atividades</v>
          </cell>
          <cell r="F29" t="str">
            <v>Ter sistemas de informação e infraestrutura que viabilizem a gestão e o atendimento dos arquitetos e urbanistas e a sociedade</v>
          </cell>
          <cell r="H29" t="str">
            <v>O redimensionamento dos espaços contribuirá para melhoria das atividades de fiscalização, de registro, cadastro, atendimento e funcionamento do CAU/BA</v>
          </cell>
          <cell r="J29">
            <v>400000</v>
          </cell>
        </row>
        <row r="30">
          <cell r="A30" t="str">
            <v>Gerência Adm. Financeira</v>
          </cell>
          <cell r="D30" t="str">
            <v>Aquisição de Equipamentos</v>
          </cell>
          <cell r="E30" t="str">
            <v>Modernizar parque computacional do CAU/BA</v>
          </cell>
          <cell r="F30" t="str">
            <v>Ter sistemas de informação e infraestrutura que viabilizem a gestão e o atendimento dos arquitetos e urbanistas e a sociedade</v>
          </cell>
          <cell r="H30" t="str">
            <v>Otimização e agilização dos procedimentos internos e redução no tempo de atendimento ao profissional Arquiteto e Urbanista</v>
          </cell>
          <cell r="J30">
            <v>160000</v>
          </cell>
        </row>
        <row r="31">
          <cell r="A31" t="str">
            <v>Gerência Adm. Financeira</v>
          </cell>
          <cell r="D31" t="str">
            <v>CSC -Fiscalização</v>
          </cell>
          <cell r="E31" t="str">
            <v>Dotar a Gerência de Fiscalização de sistemas que facilitem a gestão e a tomada de decisão no Plano de Fiscalização do CAU/BA</v>
          </cell>
          <cell r="F31" t="str">
            <v>Tornar a fiscalização um vetor de melhoria do exercício da Arquitetura e Urbanismo</v>
          </cell>
          <cell r="H31" t="str">
            <v>Otimização e agilização dos procedimentos internos de fiscalização</v>
          </cell>
          <cell r="J31">
            <v>179668.62</v>
          </cell>
        </row>
        <row r="32">
          <cell r="A32" t="str">
            <v>Gerência Adm. Financeira</v>
          </cell>
          <cell r="D32" t="str">
            <v>CSC- Atendimento</v>
          </cell>
          <cell r="E32" t="str">
            <v>Dotar a Gerência de Atendimento de sistemas que facilitem e agilizem o atendimento aos profissionais</v>
          </cell>
          <cell r="F32" t="str">
            <v>Assegurar a eficácia no atendimento e no relacionamento com os Arquitetos e Urbanistas e a Sociedade</v>
          </cell>
          <cell r="H32" t="str">
            <v xml:space="preserve">Melhoria na qualidade e na redução do tempo de atendimento </v>
          </cell>
          <cell r="J32">
            <v>35503.379999999997</v>
          </cell>
        </row>
        <row r="33">
          <cell r="A33" t="str">
            <v>Gerência de Fiscalização</v>
          </cell>
          <cell r="D33" t="str">
            <v>Plano de Fiscalização</v>
          </cell>
          <cell r="E33" t="str">
            <v>Implementar o Plano de Fiscalização Profissional no âmbito do Estado da Bahia</v>
          </cell>
          <cell r="F33" t="str">
            <v>Tornar a fiscalização um vetor de melhoria do exercício da Arquitetura e Urbanismo</v>
          </cell>
          <cell r="H33" t="str">
            <v>Manter a continuidade Operacional do Plano de Fiscalização, visando maximização de suas ações.</v>
          </cell>
          <cell r="J33">
            <v>371331.61</v>
          </cell>
        </row>
        <row r="34">
          <cell r="A34" t="str">
            <v>Plenária</v>
          </cell>
          <cell r="D34" t="str">
            <v>Reserva de Contingência</v>
          </cell>
          <cell r="E34" t="str">
            <v>Suportar eventuais ações estratégicas não contempladas no PA</v>
          </cell>
          <cell r="F34" t="str">
            <v>Assegurar a sustentabilidade financeira</v>
          </cell>
          <cell r="H34" t="str">
            <v>Possibilitar a aplicação de recursos em ações não contempladas no PA</v>
          </cell>
          <cell r="J34">
            <v>10000</v>
          </cell>
        </row>
        <row r="35">
          <cell r="A35" t="str">
            <v>Presidência</v>
          </cell>
          <cell r="D35" t="str">
            <v>Aquisição sede CAU/BA</v>
          </cell>
          <cell r="E35" t="str">
            <v>Melhoria das instalações e das distribuições das unidades internas e atividades funcionais</v>
          </cell>
          <cell r="F35" t="str">
            <v>Ter sistemas de informação e infraestrutura que viabilizem a gestão e o atendimento dos arquitetos e urbanistas e a sociedade</v>
          </cell>
          <cell r="H35" t="str">
            <v>O redimensionamento dos espaços contribuirá para melhoria das atividades de fiscalização, de registro, cadastro, atendimento e funcionamento do CAU/BA</v>
          </cell>
          <cell r="J35">
            <v>2000000</v>
          </cell>
        </row>
        <row r="36">
          <cell r="A36" t="str">
            <v>Presidência</v>
          </cell>
          <cell r="D36" t="str">
            <v>CAU/BA Mais Perto</v>
          </cell>
          <cell r="E36" t="str">
            <v>Credenciar mobilizadores para coletar dados e realizar ações de sensibilização nos municípios do interior do Estado</v>
          </cell>
          <cell r="F36" t="str">
            <v>Tornar a fiscalização um vetor de melhoria do exercício da Arquitetura e Urbanismo</v>
          </cell>
          <cell r="H36" t="str">
            <v>Levar a fiscalização do CAU/BA aos municípios do interior, para otimizar a conformidade do exercício profissional</v>
          </cell>
          <cell r="J36">
            <v>0</v>
          </cell>
        </row>
        <row r="37">
          <cell r="A37" t="str">
            <v>Presidência</v>
          </cell>
          <cell r="D37" t="str">
            <v>Eleições</v>
          </cell>
          <cell r="E37" t="str">
            <v>Estruturar e organizar a realização das Eleições para o triênio 2021 a 2024</v>
          </cell>
          <cell r="F37" t="str">
            <v>Aprimorar e inovar os processos e as ações</v>
          </cell>
          <cell r="H37" t="str">
            <v>Dar conformidade e garantia ao processo eleitoral</v>
          </cell>
          <cell r="J37">
            <v>10000</v>
          </cell>
        </row>
        <row r="38">
          <cell r="A38" t="str">
            <v>Presidência</v>
          </cell>
          <cell r="D38" t="str">
            <v>Concurso Público</v>
          </cell>
          <cell r="E38" t="str">
            <v>Estruturar e organizar a realização do Concurso Público</v>
          </cell>
          <cell r="F38" t="str">
            <v>Aprimorar e inovar os processos e as ações</v>
          </cell>
          <cell r="H38" t="str">
            <v>Dar conformidade e garantia ao processo de contratação de pessoal</v>
          </cell>
          <cell r="J38">
            <v>15000</v>
          </cell>
        </row>
        <row r="39">
          <cell r="J39">
            <v>6348372.2400000002</v>
          </cell>
        </row>
      </sheetData>
      <sheetData sheetId="9" refreshError="1">
        <row r="6">
          <cell r="E6">
            <v>3459018</v>
          </cell>
        </row>
        <row r="7">
          <cell r="E7">
            <v>0</v>
          </cell>
        </row>
        <row r="8">
          <cell r="E8">
            <v>3459018</v>
          </cell>
        </row>
        <row r="9">
          <cell r="E9">
            <v>70882</v>
          </cell>
        </row>
        <row r="10">
          <cell r="E10">
            <v>3388136</v>
          </cell>
        </row>
        <row r="13">
          <cell r="E13">
            <v>591000.23</v>
          </cell>
        </row>
        <row r="14">
          <cell r="E14">
            <v>0.17443226304965326</v>
          </cell>
        </row>
        <row r="15">
          <cell r="E15">
            <v>814926.69000000006</v>
          </cell>
        </row>
        <row r="16">
          <cell r="E16">
            <v>0.24052360649041243</v>
          </cell>
        </row>
        <row r="17">
          <cell r="E17">
            <v>427515.73</v>
          </cell>
        </row>
        <row r="18">
          <cell r="E18">
            <v>0.12618021531603218</v>
          </cell>
        </row>
        <row r="19">
          <cell r="E19">
            <v>55000</v>
          </cell>
        </row>
        <row r="20">
          <cell r="E20">
            <v>1.6233114609330912E-2</v>
          </cell>
        </row>
        <row r="21">
          <cell r="E21">
            <v>314531.86</v>
          </cell>
        </row>
        <row r="22">
          <cell r="E22">
            <v>9.2833304212109544E-2</v>
          </cell>
        </row>
        <row r="23">
          <cell r="E23">
            <v>76000</v>
          </cell>
        </row>
        <row r="24">
          <cell r="E24">
            <v>2.2431212914711805E-2</v>
          </cell>
        </row>
        <row r="25">
          <cell r="E25">
            <v>10000</v>
          </cell>
        </row>
        <row r="26">
          <cell r="E26">
            <v>2.9514753835147112E-3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Iniciais"/>
      <sheetName val="Mapa Estratégico e ODS"/>
      <sheetName val="Indicadores e Metas"/>
      <sheetName val="Quadro Geral"/>
      <sheetName val="Anexo_1.1_Limites Estratégicos"/>
      <sheetName val="Anexo_1.2_Usos e Fontes"/>
      <sheetName val="Anexo_1.3_ Elemento de Despesas"/>
      <sheetName val="Anexo 1.4-Presidência"/>
      <sheetName val="Anexo 1.4-Direção Geral"/>
      <sheetName val="Anexo 1.4-G. Técnica"/>
      <sheetName val="Anexo 1.4- G. Operações"/>
      <sheetName val="Anexo 1.4-G. ADM Financeira"/>
      <sheetName val="Anexo 1.4-Ass. Jurídica"/>
      <sheetName val="Anexo 1.4-Com. Ética"/>
      <sheetName val="Anexo 1.4-Com. Atos"/>
      <sheetName val="Anexo 1.4-Com. Exercício"/>
      <sheetName val="Anexo 1.4-Com. Planejamento"/>
      <sheetName val="Anexo 1.4-Com. Ensino"/>
      <sheetName val="Anexo 1.4-Com. P. Profissional"/>
      <sheetName val="Anexo 1.4-Com. P. Urbanas"/>
      <sheetName val="Anexo 1.4-Plenária"/>
      <sheetName val="Anexo 1.4-Dia Arquiteto"/>
      <sheetName val="Anexo 1.4-APC"/>
      <sheetName val="Anexo 1.4-Patrocínio"/>
      <sheetName val="Anexo 1.4-Fundo Apoio"/>
      <sheetName val="Anexo 1.4-Comunicação"/>
      <sheetName val="Anexo 1.4-Capacitação"/>
      <sheetName val="Anexo 1.4-Assist. Técnica"/>
      <sheetName val="Anexo 1.4-G. Atendimento"/>
      <sheetName val="Anexo 1.4-Reforma Sede CAUBA"/>
      <sheetName val="Anexo 1.4-Aquisição Equipamento"/>
      <sheetName val="Anexo 1.4-CSC Fiscalização"/>
      <sheetName val="Anexo 1.4-CSC Atendimento"/>
      <sheetName val="Anexo 1.4-G. Fiscalização"/>
      <sheetName val="Anexo 1.4-Reserva Contingência"/>
      <sheetName val="Anexo 1.4-Aquisição Sede"/>
      <sheetName val="Anexo 1.4-Eleições"/>
      <sheetName val="Anexo 1.4-Concurso"/>
      <sheetName val="Resumo"/>
      <sheetName val="Ações Estratégicas - Descri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Iniciais"/>
      <sheetName val="Mapa Estratégico e ODS"/>
      <sheetName val="Indicadores e Metas"/>
      <sheetName val="Quadro Geral"/>
      <sheetName val="Anexo_1.1_Limites Estratégicos"/>
      <sheetName val="Anexo_1.2_Usos e Fontes"/>
      <sheetName val="Anexo_1.3_ Elemento de Despesas"/>
      <sheetName val="Anexo 1.4-Presidência"/>
      <sheetName val="Anexo 1.4-Direção Geral"/>
      <sheetName val="Anexo 1.4-G. Técnica"/>
      <sheetName val="Anexo 1.4- G. Operações"/>
      <sheetName val="Anexo 1.4-G. ADM Financeira"/>
      <sheetName val="Anexo 1.4-Ass. Jurídica"/>
      <sheetName val="Anexo 1.4-Com. Ética"/>
      <sheetName val="Anexo 1.4-Com. Atos"/>
      <sheetName val="Anexo 1.4-Com. Exercício"/>
      <sheetName val="Anexo 1.4-Com. Planejamento"/>
      <sheetName val="Anexo 1.4-Com. Ensino"/>
      <sheetName val="Anexo 1.4-Com. P. Profissional"/>
      <sheetName val="Anexo 1.4-Com. P. Urbanas"/>
      <sheetName val="Anexo 1.4-Plenária"/>
      <sheetName val="Anexo 1.4-Dia Arquiteto"/>
      <sheetName val="Anexo 1.4-APC"/>
      <sheetName val="Anexo 1.4-Patrocínio"/>
      <sheetName val="Anexo 1.4-Fundo Apoio"/>
      <sheetName val="Anexo 1.4-Comunicação"/>
      <sheetName val="Anexo 1.4-Capacitação"/>
      <sheetName val="Anexo 1.4-Assist. Técnica"/>
      <sheetName val="Anexo 1.4-G. Atendimento"/>
      <sheetName val="Anexo 1.4-Reforma Sede CAUBA"/>
      <sheetName val="Anexo 1.4-Aquisição Equipamento"/>
      <sheetName val="Anexo 1.4-CSC Fiscalização"/>
      <sheetName val="Anexo 1.4-CSC Atendimento"/>
      <sheetName val="Anexo 1.4-G. Fiscalização"/>
      <sheetName val="Anexo 1.4-Reserva Contingência"/>
      <sheetName val="Anexo 1.4-Aquisição Sede"/>
      <sheetName val="Anexo 1.4-Eleições"/>
      <sheetName val="Anexo 1.4-Concurso"/>
      <sheetName val="Resumo"/>
      <sheetName val="Ações Estratégicas - Descriçã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ransparencia.caubr.gov.br/deliberacao-plenaria-dpobr-0097-08-a/" TargetMode="External"/><Relationship Id="rId2" Type="http://schemas.openxmlformats.org/officeDocument/2006/relationships/hyperlink" Target="https://transparencia.caubr.gov.br/deliberacao-plenaria-dpobr-0102-10/" TargetMode="External"/><Relationship Id="rId1" Type="http://schemas.openxmlformats.org/officeDocument/2006/relationships/hyperlink" Target="https://transparencia.caubr.gov.br/deliberacao-plenaria-dpaebr-004-01/"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transparencia.caubr.gov.br/deliberacaoplenaria-dpobr-0084-03/"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package" Target="../embeddings/Slide_do_Microsoft_PowerPoint1.sldx"/></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2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2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2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30.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3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B1:T16"/>
  <sheetViews>
    <sheetView showGridLines="0" topLeftCell="A11" workbookViewId="0">
      <selection activeCell="L17" sqref="L17"/>
    </sheetView>
  </sheetViews>
  <sheetFormatPr defaultRowHeight="15" x14ac:dyDescent="0.25"/>
  <cols>
    <col min="1" max="1" width="3.7109375" customWidth="1"/>
    <col min="2" max="2" width="9.42578125" customWidth="1"/>
    <col min="7" max="7" width="13.42578125" customWidth="1"/>
  </cols>
  <sheetData>
    <row r="1" spans="2:20" ht="15.75" thickBot="1" x14ac:dyDescent="0.3"/>
    <row r="2" spans="2:20" x14ac:dyDescent="0.25">
      <c r="B2" s="83"/>
      <c r="C2" s="84"/>
      <c r="D2" s="84"/>
      <c r="E2" s="84"/>
      <c r="F2" s="84"/>
      <c r="G2" s="84"/>
      <c r="H2" s="84"/>
      <c r="I2" s="85"/>
      <c r="L2" s="334"/>
      <c r="M2" s="335"/>
      <c r="N2" s="335"/>
      <c r="O2" s="335"/>
      <c r="P2" s="335"/>
      <c r="Q2" s="335"/>
    </row>
    <row r="3" spans="2:20" ht="44.25" customHeight="1" thickBot="1" x14ac:dyDescent="0.3">
      <c r="B3" s="86"/>
      <c r="C3" s="5"/>
      <c r="D3" s="5"/>
      <c r="E3" s="5"/>
      <c r="F3" s="5"/>
      <c r="G3" s="5"/>
      <c r="H3" s="5"/>
      <c r="I3" s="87"/>
      <c r="L3" s="335"/>
      <c r="M3" s="335"/>
      <c r="N3" s="335"/>
      <c r="O3" s="335"/>
      <c r="P3" s="335"/>
      <c r="Q3" s="335"/>
    </row>
    <row r="4" spans="2:20" x14ac:dyDescent="0.25">
      <c r="B4" s="348" t="s">
        <v>315</v>
      </c>
      <c r="C4" s="349"/>
      <c r="D4" s="349"/>
      <c r="E4" s="349"/>
      <c r="F4" s="349"/>
      <c r="G4" s="349"/>
      <c r="H4" s="349"/>
      <c r="I4" s="350"/>
      <c r="L4" s="339" t="s">
        <v>375</v>
      </c>
      <c r="M4" s="340"/>
      <c r="N4" s="340"/>
      <c r="O4" s="340"/>
      <c r="P4" s="340"/>
      <c r="Q4" s="340"/>
      <c r="R4" s="340"/>
      <c r="S4" s="341"/>
    </row>
    <row r="5" spans="2:20" ht="9" customHeight="1" thickBot="1" x14ac:dyDescent="0.3">
      <c r="B5" s="86"/>
      <c r="C5" s="5"/>
      <c r="D5" s="5"/>
      <c r="E5" s="5"/>
      <c r="F5" s="5"/>
      <c r="G5" s="5"/>
      <c r="H5" s="5"/>
      <c r="I5" s="87"/>
      <c r="L5" s="342"/>
      <c r="M5" s="343"/>
      <c r="N5" s="343"/>
      <c r="O5" s="343"/>
      <c r="P5" s="343"/>
      <c r="Q5" s="343"/>
      <c r="R5" s="343"/>
      <c r="S5" s="344"/>
    </row>
    <row r="6" spans="2:20" ht="43.5" customHeight="1" thickBot="1" x14ac:dyDescent="0.3">
      <c r="B6" s="351" t="s">
        <v>111</v>
      </c>
      <c r="C6" s="352"/>
      <c r="D6" s="352"/>
      <c r="E6" s="352"/>
      <c r="F6" s="352"/>
      <c r="G6" s="352"/>
      <c r="H6" s="352"/>
      <c r="I6" s="353"/>
      <c r="L6" s="336" t="s">
        <v>376</v>
      </c>
      <c r="M6" s="337"/>
      <c r="N6" s="337"/>
      <c r="O6" s="337"/>
      <c r="P6" s="337"/>
      <c r="Q6" s="337"/>
      <c r="R6" s="337"/>
      <c r="S6" s="338"/>
    </row>
    <row r="7" spans="2:20" ht="58.5" customHeight="1" thickBot="1" x14ac:dyDescent="0.3">
      <c r="B7" s="351" t="s">
        <v>112</v>
      </c>
      <c r="C7" s="352"/>
      <c r="D7" s="352"/>
      <c r="E7" s="352"/>
      <c r="F7" s="352"/>
      <c r="G7" s="352"/>
      <c r="H7" s="352"/>
      <c r="I7" s="353"/>
      <c r="L7" s="360" t="s">
        <v>377</v>
      </c>
      <c r="M7" s="361"/>
      <c r="N7" s="361"/>
      <c r="O7" s="361"/>
      <c r="P7" s="361"/>
      <c r="Q7" s="361"/>
      <c r="R7" s="361"/>
      <c r="S7" s="362"/>
    </row>
    <row r="8" spans="2:20" ht="36.75" customHeight="1" thickBot="1" x14ac:dyDescent="0.3">
      <c r="B8" s="351" t="s">
        <v>389</v>
      </c>
      <c r="C8" s="352"/>
      <c r="D8" s="352"/>
      <c r="E8" s="352"/>
      <c r="F8" s="352"/>
      <c r="G8" s="352"/>
      <c r="H8" s="352"/>
      <c r="I8" s="353"/>
      <c r="L8" s="363" t="s">
        <v>385</v>
      </c>
      <c r="M8" s="364"/>
      <c r="N8" s="364"/>
      <c r="O8" s="364"/>
      <c r="P8" s="364"/>
      <c r="Q8" s="364"/>
      <c r="R8" s="364"/>
      <c r="S8" s="365"/>
      <c r="T8" s="190"/>
    </row>
    <row r="9" spans="2:20" ht="36.75" customHeight="1" thickBot="1" x14ac:dyDescent="0.3">
      <c r="B9" s="351" t="s">
        <v>113</v>
      </c>
      <c r="C9" s="352"/>
      <c r="D9" s="352"/>
      <c r="E9" s="352"/>
      <c r="F9" s="352"/>
      <c r="G9" s="352"/>
      <c r="H9" s="352"/>
      <c r="I9" s="353"/>
      <c r="L9" s="354" t="s">
        <v>386</v>
      </c>
      <c r="M9" s="355"/>
      <c r="N9" s="355"/>
      <c r="O9" s="355"/>
      <c r="P9" s="355"/>
      <c r="Q9" s="355"/>
      <c r="R9" s="355"/>
      <c r="S9" s="356"/>
    </row>
    <row r="10" spans="2:20" ht="36.75" customHeight="1" thickBot="1" x14ac:dyDescent="0.3">
      <c r="B10" s="345" t="s">
        <v>114</v>
      </c>
      <c r="C10" s="346"/>
      <c r="D10" s="346"/>
      <c r="E10" s="346"/>
      <c r="F10" s="346"/>
      <c r="G10" s="346"/>
      <c r="H10" s="346"/>
      <c r="I10" s="347"/>
    </row>
    <row r="11" spans="2:20" ht="48" customHeight="1" thickBot="1" x14ac:dyDescent="0.3">
      <c r="B11" s="345" t="s">
        <v>115</v>
      </c>
      <c r="C11" s="346"/>
      <c r="D11" s="346"/>
      <c r="E11" s="346"/>
      <c r="F11" s="346"/>
      <c r="G11" s="346"/>
      <c r="H11" s="346"/>
      <c r="I11" s="347"/>
    </row>
    <row r="12" spans="2:20" ht="48.75" customHeight="1" thickBot="1" x14ac:dyDescent="0.3">
      <c r="B12" s="369" t="s">
        <v>316</v>
      </c>
      <c r="C12" s="370"/>
      <c r="D12" s="370"/>
      <c r="E12" s="370"/>
      <c r="F12" s="370"/>
      <c r="G12" s="370"/>
      <c r="H12" s="370"/>
      <c r="I12" s="371"/>
    </row>
    <row r="13" spans="2:20" ht="15.75" hidden="1" thickBot="1" x14ac:dyDescent="0.3">
      <c r="B13" s="357"/>
      <c r="C13" s="358"/>
      <c r="D13" s="358"/>
      <c r="E13" s="358"/>
      <c r="F13" s="358"/>
      <c r="G13" s="358"/>
      <c r="H13" s="358"/>
      <c r="I13" s="359"/>
    </row>
    <row r="14" spans="2:20" ht="44.25" customHeight="1" thickBot="1" x14ac:dyDescent="0.3">
      <c r="B14" s="366" t="s">
        <v>351</v>
      </c>
      <c r="C14" s="367"/>
      <c r="D14" s="367"/>
      <c r="E14" s="367"/>
      <c r="F14" s="367"/>
      <c r="G14" s="367"/>
      <c r="H14" s="367"/>
      <c r="I14" s="368"/>
    </row>
    <row r="15" spans="2:20" ht="49.5" customHeight="1" thickBot="1" x14ac:dyDescent="0.3">
      <c r="B15" s="366" t="s">
        <v>394</v>
      </c>
      <c r="C15" s="367"/>
      <c r="D15" s="367"/>
      <c r="E15" s="367"/>
      <c r="F15" s="367"/>
      <c r="G15" s="367"/>
      <c r="H15" s="367"/>
      <c r="I15" s="368"/>
      <c r="J15" s="372" t="s">
        <v>395</v>
      </c>
      <c r="K15" s="373"/>
      <c r="L15" s="373"/>
      <c r="M15" s="373"/>
      <c r="N15" s="373"/>
      <c r="O15" s="373"/>
    </row>
    <row r="16" spans="2:20" ht="41.25" customHeight="1" thickBot="1" x14ac:dyDescent="0.3">
      <c r="B16" s="366" t="s">
        <v>384</v>
      </c>
      <c r="C16" s="367"/>
      <c r="D16" s="367"/>
      <c r="E16" s="367"/>
      <c r="F16" s="367"/>
      <c r="G16" s="367"/>
      <c r="H16" s="367"/>
      <c r="I16" s="368"/>
      <c r="J16" s="190"/>
      <c r="K16" s="190"/>
      <c r="L16" s="190"/>
    </row>
  </sheetData>
  <mergeCells count="19">
    <mergeCell ref="B13:I13"/>
    <mergeCell ref="L7:S7"/>
    <mergeCell ref="L8:S8"/>
    <mergeCell ref="B16:I16"/>
    <mergeCell ref="B14:I14"/>
    <mergeCell ref="B15:I15"/>
    <mergeCell ref="B11:I11"/>
    <mergeCell ref="B12:I12"/>
    <mergeCell ref="J15:O15"/>
    <mergeCell ref="L2:Q3"/>
    <mergeCell ref="L6:S6"/>
    <mergeCell ref="L4:S5"/>
    <mergeCell ref="B10:I10"/>
    <mergeCell ref="B4:I4"/>
    <mergeCell ref="B6:I6"/>
    <mergeCell ref="B7:I7"/>
    <mergeCell ref="B8:I8"/>
    <mergeCell ref="B9:I9"/>
    <mergeCell ref="L9:S9"/>
  </mergeCells>
  <hyperlinks>
    <hyperlink ref="L6:S6" r:id="rId1" display="https://transparencia.caubr.gov.br/deliberacao-plenaria-dpaebr-004-01/"/>
    <hyperlink ref="L7:S7" r:id="rId2" display="Redução do Fundo de apoio e CSC para os CAU/UF- DPOBR Nº 0102-10/2020"/>
    <hyperlink ref="L8:S8" r:id="rId3" display="Projetos Específicos- DPOBR Nº 0097-08.A/2019"/>
    <hyperlink ref="L9:S9" r:id="rId4" display="Projetos Específicos- DPOBR Nº 0084-03/2018"/>
  </hyperlinks>
  <pageMargins left="0.511811024" right="0.511811024" top="0.78740157499999996" bottom="0.78740157499999996" header="0.31496062000000002" footer="0.31496062000000002"/>
  <pageSetup paperSize="9" orientation="portrait" verticalDpi="0" r:id="rId5"/>
  <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BA84"/>
  <sheetViews>
    <sheetView showGridLines="0" topLeftCell="F21" zoomScale="40" zoomScaleNormal="40" zoomScaleSheetLayoutView="80" workbookViewId="0">
      <selection activeCell="G26" sqref="G26:J26"/>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34" style="1" bestFit="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420</v>
      </c>
      <c r="H8" s="570"/>
      <c r="I8" s="570"/>
      <c r="J8" s="570"/>
      <c r="K8" s="570"/>
      <c r="L8" s="570"/>
      <c r="M8" s="570"/>
      <c r="N8" s="570"/>
      <c r="O8" s="570"/>
      <c r="P8" s="571"/>
      <c r="Q8" s="307" t="b">
        <f>G8='Quadro Geral'!E11</f>
        <v>1</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526</v>
      </c>
      <c r="H9" s="570"/>
      <c r="I9" s="570"/>
      <c r="J9" s="570"/>
      <c r="K9" s="570"/>
      <c r="L9" s="570"/>
      <c r="M9" s="570"/>
      <c r="N9" s="570"/>
      <c r="O9" s="570"/>
      <c r="P9" s="571"/>
      <c r="Q9" s="308" t="s">
        <v>702</v>
      </c>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t="str">
        <f>'Quadro Geral'!G11</f>
        <v>Assegurar a eficácia no atendimento e no relacionamento com os Arquitetos e Urbanistas e a Sociedade</v>
      </c>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198" t="s">
        <v>289</v>
      </c>
      <c r="D13" s="199" t="s">
        <v>288</v>
      </c>
      <c r="E13" s="130" t="s">
        <v>217</v>
      </c>
      <c r="F13" s="582"/>
      <c r="G13" s="582"/>
      <c r="H13" s="198" t="s">
        <v>373</v>
      </c>
      <c r="I13" s="198" t="s">
        <v>374</v>
      </c>
      <c r="J13" s="198"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157.5" x14ac:dyDescent="0.5">
      <c r="A15" s="590" t="s">
        <v>514</v>
      </c>
      <c r="B15" s="591"/>
      <c r="C15" s="205">
        <v>2600</v>
      </c>
      <c r="D15" s="42" t="s">
        <v>548</v>
      </c>
      <c r="E15" s="61" t="s">
        <v>226</v>
      </c>
      <c r="F15" s="61" t="s">
        <v>549</v>
      </c>
      <c r="G15" s="210"/>
      <c r="H15" s="231"/>
      <c r="I15" s="231"/>
      <c r="J15" s="231">
        <f>H15+I15</f>
        <v>0</v>
      </c>
      <c r="K15" s="151">
        <f>J15-G15</f>
        <v>0</v>
      </c>
      <c r="L15" s="152">
        <f>IFERROR(K15/G15*100,0)</f>
        <v>0</v>
      </c>
      <c r="M15" s="152" t="s">
        <v>371</v>
      </c>
      <c r="N15" s="153"/>
      <c r="O15" s="154">
        <f>IFERROR(N15/J15*100,)</f>
        <v>0</v>
      </c>
      <c r="P15" s="155" t="s">
        <v>560</v>
      </c>
      <c r="Z15" s="3"/>
      <c r="AA15" s="118"/>
      <c r="AB15" s="116"/>
      <c r="AC15" s="116"/>
      <c r="AD15" s="116"/>
      <c r="AE15" s="116"/>
      <c r="AF15" s="116"/>
      <c r="AG15" s="3"/>
      <c r="AH15" s="3"/>
      <c r="AI15" s="3"/>
      <c r="AJ15" s="3"/>
      <c r="AZ15" s="188"/>
      <c r="BA15" s="188" t="s">
        <v>213</v>
      </c>
    </row>
    <row r="16" spans="1:53" ht="78.75" x14ac:dyDescent="0.5">
      <c r="A16" s="590" t="s">
        <v>514</v>
      </c>
      <c r="B16" s="591"/>
      <c r="C16" s="206">
        <v>0.8</v>
      </c>
      <c r="D16" s="61" t="s">
        <v>550</v>
      </c>
      <c r="E16" s="61" t="s">
        <v>224</v>
      </c>
      <c r="F16" s="61" t="s">
        <v>551</v>
      </c>
      <c r="G16" s="210"/>
      <c r="H16" s="231"/>
      <c r="I16" s="231"/>
      <c r="J16" s="231">
        <f t="shared" ref="J16:J23" si="1">H16+I16</f>
        <v>0</v>
      </c>
      <c r="K16" s="151">
        <f t="shared" ref="K16:K22" si="2">J16-G16</f>
        <v>0</v>
      </c>
      <c r="L16" s="152">
        <f t="shared" ref="L16:L24" si="3">IFERROR(K16/G16*100,0)</f>
        <v>0</v>
      </c>
      <c r="M16" s="152" t="s">
        <v>371</v>
      </c>
      <c r="N16" s="153"/>
      <c r="O16" s="154">
        <f t="shared" ref="O16:O24" si="4">IFERROR(N16/J16*100,)</f>
        <v>0</v>
      </c>
      <c r="P16" s="155" t="s">
        <v>560</v>
      </c>
      <c r="Z16" s="3"/>
      <c r="AA16" s="118"/>
      <c r="AB16" s="116"/>
      <c r="AC16" s="116"/>
      <c r="AD16" s="116"/>
      <c r="AE16" s="116"/>
      <c r="AF16" s="116"/>
      <c r="AG16" s="3"/>
      <c r="AH16" s="3"/>
      <c r="AI16" s="3"/>
      <c r="AJ16" s="3"/>
      <c r="AZ16" s="188"/>
      <c r="BA16" s="188" t="s">
        <v>371</v>
      </c>
    </row>
    <row r="17" spans="1:36" ht="393.75" x14ac:dyDescent="0.4">
      <c r="A17" s="590" t="s">
        <v>514</v>
      </c>
      <c r="B17" s="591"/>
      <c r="C17" s="206">
        <v>0.8</v>
      </c>
      <c r="D17" s="61" t="s">
        <v>552</v>
      </c>
      <c r="E17" s="61" t="s">
        <v>224</v>
      </c>
      <c r="F17" s="61" t="s">
        <v>553</v>
      </c>
      <c r="G17" s="210"/>
      <c r="H17" s="231"/>
      <c r="I17" s="231"/>
      <c r="J17" s="231">
        <f t="shared" si="1"/>
        <v>0</v>
      </c>
      <c r="K17" s="151">
        <f t="shared" si="2"/>
        <v>0</v>
      </c>
      <c r="L17" s="152">
        <f t="shared" si="3"/>
        <v>0</v>
      </c>
      <c r="M17" s="152" t="s">
        <v>371</v>
      </c>
      <c r="N17" s="153"/>
      <c r="O17" s="154">
        <f t="shared" si="4"/>
        <v>0</v>
      </c>
      <c r="P17" s="155" t="s">
        <v>560</v>
      </c>
      <c r="Z17" s="3"/>
      <c r="AA17" s="118"/>
      <c r="AB17" s="116"/>
      <c r="AC17" s="116"/>
      <c r="AD17" s="116"/>
      <c r="AE17" s="116"/>
      <c r="AF17" s="116"/>
      <c r="AG17" s="3"/>
      <c r="AH17" s="3"/>
      <c r="AI17" s="3"/>
      <c r="AJ17" s="3"/>
    </row>
    <row r="18" spans="1:36" ht="262.5" x14ac:dyDescent="0.4">
      <c r="A18" s="590" t="s">
        <v>514</v>
      </c>
      <c r="B18" s="591"/>
      <c r="C18" s="206">
        <v>0.8</v>
      </c>
      <c r="D18" s="61" t="s">
        <v>554</v>
      </c>
      <c r="E18" s="61" t="s">
        <v>224</v>
      </c>
      <c r="F18" s="61" t="s">
        <v>555</v>
      </c>
      <c r="G18" s="210"/>
      <c r="H18" s="231"/>
      <c r="I18" s="231"/>
      <c r="J18" s="231">
        <f t="shared" si="1"/>
        <v>0</v>
      </c>
      <c r="K18" s="151">
        <f t="shared" si="2"/>
        <v>0</v>
      </c>
      <c r="L18" s="152">
        <f t="shared" si="3"/>
        <v>0</v>
      </c>
      <c r="M18" s="152" t="s">
        <v>371</v>
      </c>
      <c r="N18" s="153"/>
      <c r="O18" s="154">
        <f t="shared" si="4"/>
        <v>0</v>
      </c>
      <c r="P18" s="155" t="s">
        <v>560</v>
      </c>
      <c r="Z18" s="3"/>
      <c r="AA18" s="118"/>
      <c r="AB18" s="116"/>
      <c r="AC18" s="116"/>
      <c r="AD18" s="116"/>
      <c r="AE18" s="116"/>
      <c r="AF18" s="116"/>
      <c r="AG18" s="3"/>
      <c r="AH18" s="3"/>
      <c r="AI18" s="3"/>
      <c r="AJ18" s="3"/>
    </row>
    <row r="19" spans="1:36" ht="52.5" x14ac:dyDescent="0.25">
      <c r="A19" s="590" t="s">
        <v>512</v>
      </c>
      <c r="B19" s="591"/>
      <c r="C19" s="204">
        <v>1</v>
      </c>
      <c r="D19" s="61" t="s">
        <v>556</v>
      </c>
      <c r="E19" s="61" t="s">
        <v>281</v>
      </c>
      <c r="F19" s="61" t="s">
        <v>524</v>
      </c>
      <c r="G19" s="210">
        <v>263829.05</v>
      </c>
      <c r="H19" s="231">
        <v>79830.3</v>
      </c>
      <c r="I19" s="231">
        <f>219454.23-H19</f>
        <v>139623.93</v>
      </c>
      <c r="J19" s="231">
        <f t="shared" si="1"/>
        <v>219454.22999999998</v>
      </c>
      <c r="K19" s="151">
        <f t="shared" si="2"/>
        <v>-44374.820000000007</v>
      </c>
      <c r="L19" s="152">
        <f t="shared" si="3"/>
        <v>-16.819535225556098</v>
      </c>
      <c r="M19" s="152" t="s">
        <v>371</v>
      </c>
      <c r="N19" s="153"/>
      <c r="O19" s="154">
        <f t="shared" si="4"/>
        <v>0</v>
      </c>
      <c r="P19" s="155" t="s">
        <v>560</v>
      </c>
      <c r="Z19" s="3"/>
      <c r="AA19" s="3"/>
      <c r="AB19" s="3"/>
      <c r="AC19" s="3"/>
      <c r="AD19" s="3"/>
      <c r="AE19" s="3"/>
      <c r="AF19" s="3"/>
      <c r="AG19" s="3"/>
      <c r="AH19" s="3"/>
      <c r="AI19" s="3"/>
      <c r="AJ19" s="3"/>
    </row>
    <row r="20" spans="1:36" ht="78.75" x14ac:dyDescent="0.25">
      <c r="A20" s="590" t="s">
        <v>513</v>
      </c>
      <c r="B20" s="591"/>
      <c r="C20" s="200">
        <v>1</v>
      </c>
      <c r="D20" s="61" t="s">
        <v>557</v>
      </c>
      <c r="E20" s="61" t="s">
        <v>281</v>
      </c>
      <c r="F20" s="61" t="s">
        <v>544</v>
      </c>
      <c r="G20" s="210">
        <v>2000</v>
      </c>
      <c r="H20" s="231">
        <v>0</v>
      </c>
      <c r="I20" s="231"/>
      <c r="J20" s="231">
        <f t="shared" si="1"/>
        <v>0</v>
      </c>
      <c r="K20" s="151">
        <f t="shared" si="2"/>
        <v>-2000</v>
      </c>
      <c r="L20" s="152">
        <f t="shared" si="3"/>
        <v>-100</v>
      </c>
      <c r="M20" s="152" t="s">
        <v>371</v>
      </c>
      <c r="N20" s="153"/>
      <c r="O20" s="154">
        <f t="shared" si="4"/>
        <v>0</v>
      </c>
      <c r="P20" s="155" t="s">
        <v>560</v>
      </c>
      <c r="Z20" s="3"/>
      <c r="AA20" s="3"/>
      <c r="AB20" s="3"/>
      <c r="AC20" s="3"/>
      <c r="AD20" s="3"/>
      <c r="AE20" s="3"/>
      <c r="AF20" s="3"/>
      <c r="AG20" s="3"/>
      <c r="AH20" s="3"/>
      <c r="AI20" s="3"/>
      <c r="AJ20" s="3"/>
    </row>
    <row r="21" spans="1:36" ht="78.75" x14ac:dyDescent="0.25">
      <c r="A21" s="590" t="s">
        <v>512</v>
      </c>
      <c r="B21" s="591"/>
      <c r="C21" s="200">
        <v>2</v>
      </c>
      <c r="D21" s="61" t="s">
        <v>558</v>
      </c>
      <c r="E21" s="61" t="s">
        <v>281</v>
      </c>
      <c r="F21" s="61" t="s">
        <v>544</v>
      </c>
      <c r="G21" s="210">
        <v>2000</v>
      </c>
      <c r="H21" s="231">
        <v>2630.3</v>
      </c>
      <c r="I21" s="231">
        <v>0</v>
      </c>
      <c r="J21" s="231">
        <f t="shared" si="1"/>
        <v>2630.3</v>
      </c>
      <c r="K21" s="151">
        <f t="shared" si="2"/>
        <v>630.30000000000018</v>
      </c>
      <c r="L21" s="152">
        <f t="shared" si="3"/>
        <v>31.515000000000011</v>
      </c>
      <c r="M21" s="152" t="s">
        <v>371</v>
      </c>
      <c r="N21" s="153"/>
      <c r="O21" s="154">
        <f t="shared" si="4"/>
        <v>0</v>
      </c>
      <c r="P21" s="155" t="s">
        <v>560</v>
      </c>
      <c r="AA21" s="178"/>
    </row>
    <row r="22" spans="1:36" ht="52.5" x14ac:dyDescent="0.25">
      <c r="A22" s="590" t="s">
        <v>512</v>
      </c>
      <c r="B22" s="591"/>
      <c r="C22" s="200">
        <v>1</v>
      </c>
      <c r="D22" s="61" t="s">
        <v>559</v>
      </c>
      <c r="E22" s="61" t="s">
        <v>281</v>
      </c>
      <c r="F22" s="61" t="s">
        <v>524</v>
      </c>
      <c r="G22" s="210">
        <v>19800</v>
      </c>
      <c r="H22" s="231">
        <v>0</v>
      </c>
      <c r="I22" s="231">
        <f>8669.23+0.46</f>
        <v>8669.6899999999987</v>
      </c>
      <c r="J22" s="231">
        <f t="shared" si="1"/>
        <v>8669.6899999999987</v>
      </c>
      <c r="K22" s="151">
        <f t="shared" si="2"/>
        <v>-11130.310000000001</v>
      </c>
      <c r="L22" s="152">
        <f t="shared" si="3"/>
        <v>-56.213686868686871</v>
      </c>
      <c r="M22" s="152" t="s">
        <v>371</v>
      </c>
      <c r="N22" s="153"/>
      <c r="O22" s="154">
        <f t="shared" si="4"/>
        <v>0</v>
      </c>
      <c r="P22" s="155" t="s">
        <v>560</v>
      </c>
    </row>
    <row r="23" spans="1:36" ht="55.5" customHeight="1" x14ac:dyDescent="0.25">
      <c r="A23" s="590"/>
      <c r="B23" s="591"/>
      <c r="C23" s="61"/>
      <c r="D23" s="61"/>
      <c r="E23" s="61"/>
      <c r="F23" s="61"/>
      <c r="G23" s="231"/>
      <c r="H23" s="231"/>
      <c r="I23" s="231"/>
      <c r="J23" s="231">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234">
        <f>SUM(G14:G23)</f>
        <v>287629.05</v>
      </c>
      <c r="H24" s="234">
        <f>SUM(H14:H23)</f>
        <v>82460.600000000006</v>
      </c>
      <c r="I24" s="234">
        <f>SUM(I14:I23)</f>
        <v>148293.62</v>
      </c>
      <c r="J24" s="234">
        <f>SUM(J14:J23)</f>
        <v>230754.21999999997</v>
      </c>
      <c r="K24" s="156">
        <f>J24-G24</f>
        <v>-56874.830000000016</v>
      </c>
      <c r="L24" s="156">
        <f t="shared" si="3"/>
        <v>-19.773673764871809</v>
      </c>
      <c r="M24" s="156"/>
      <c r="N24" s="157">
        <f>SUM(N14:N23)</f>
        <v>0</v>
      </c>
      <c r="O24" s="156">
        <f t="shared" si="4"/>
        <v>0</v>
      </c>
      <c r="P24" s="158"/>
    </row>
    <row r="25" spans="1:36" s="307" customFormat="1" ht="28.5" x14ac:dyDescent="0.45">
      <c r="G25" s="309">
        <f>'Quadro Geral'!J11</f>
        <v>287629.05</v>
      </c>
      <c r="H25" s="317">
        <f>'Quadro Geral'!K11</f>
        <v>82460.600000000006</v>
      </c>
      <c r="I25" s="317">
        <f>'Quadro Geral'!L11</f>
        <v>148293.62</v>
      </c>
      <c r="J25" s="317">
        <f>'Quadro Geral'!M11</f>
        <v>230754.22</v>
      </c>
    </row>
    <row r="26" spans="1:36" x14ac:dyDescent="0.4">
      <c r="A26" s="306" t="s">
        <v>296</v>
      </c>
      <c r="B26" s="306"/>
      <c r="C26" s="306"/>
      <c r="D26" s="306"/>
      <c r="E26" s="306"/>
      <c r="F26" s="306"/>
      <c r="G26" s="306" t="b">
        <f>G24=G25</f>
        <v>1</v>
      </c>
      <c r="H26" s="306" t="b">
        <f t="shared" ref="H26:J26" si="5">H24=H25</f>
        <v>1</v>
      </c>
      <c r="I26" s="306" t="b">
        <f t="shared" si="5"/>
        <v>1</v>
      </c>
      <c r="J26" s="306" t="b">
        <f t="shared" si="5"/>
        <v>1</v>
      </c>
      <c r="K26" s="306"/>
      <c r="L26" s="306"/>
      <c r="M26" s="306"/>
      <c r="N26" s="306"/>
      <c r="O26" s="306"/>
      <c r="P26" s="306"/>
    </row>
    <row r="27" spans="1:36" ht="36" customHeight="1" x14ac:dyDescent="0.25">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t="15" hidden="1" x14ac:dyDescent="0.25">
      <c r="A36" s="598" t="s">
        <v>387</v>
      </c>
      <c r="B36" s="599"/>
      <c r="C36" s="599"/>
      <c r="D36" s="599"/>
      <c r="E36" s="599"/>
      <c r="F36" s="599"/>
      <c r="G36" s="599"/>
      <c r="H36" s="599"/>
      <c r="I36" s="599"/>
      <c r="J36" s="599"/>
      <c r="K36" s="599"/>
      <c r="L36" s="599"/>
      <c r="M36" s="599"/>
      <c r="N36" s="599"/>
      <c r="O36" s="599"/>
      <c r="P36" s="600"/>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1.5"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374.25" customHeight="1" thickBot="1" x14ac:dyDescent="0.3">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1">
    <mergeCell ref="A6:P6"/>
    <mergeCell ref="A7:P7"/>
    <mergeCell ref="A8:F8"/>
    <mergeCell ref="G8:P8"/>
    <mergeCell ref="A9:F9"/>
    <mergeCell ref="G9:P9"/>
    <mergeCell ref="A24:F24"/>
    <mergeCell ref="P11:P13"/>
    <mergeCell ref="C12:E12"/>
    <mergeCell ref="F12:F13"/>
    <mergeCell ref="G12:G13"/>
    <mergeCell ref="H12:J12"/>
    <mergeCell ref="K12:K13"/>
    <mergeCell ref="L12:L13"/>
    <mergeCell ref="N12:N13"/>
    <mergeCell ref="O12:O13"/>
    <mergeCell ref="N11:O11"/>
    <mergeCell ref="A11:B13"/>
    <mergeCell ref="C11:F11"/>
    <mergeCell ref="G11:J11"/>
    <mergeCell ref="K11:L11"/>
    <mergeCell ref="M11:M13"/>
    <mergeCell ref="A19:B19"/>
    <mergeCell ref="A20:B20"/>
    <mergeCell ref="A21:B21"/>
    <mergeCell ref="A22:B22"/>
    <mergeCell ref="A23:B23"/>
    <mergeCell ref="Q14:W14"/>
    <mergeCell ref="A15:B15"/>
    <mergeCell ref="A16:B16"/>
    <mergeCell ref="A17:B17"/>
    <mergeCell ref="A18:B18"/>
    <mergeCell ref="C33:F33"/>
    <mergeCell ref="A35:P35"/>
    <mergeCell ref="A36:P84"/>
    <mergeCell ref="A27:P27"/>
    <mergeCell ref="A28:P28"/>
    <mergeCell ref="A29:F29"/>
    <mergeCell ref="C30:F30"/>
    <mergeCell ref="C31:F31"/>
    <mergeCell ref="C32:F32"/>
  </mergeCells>
  <dataValidations count="2">
    <dataValidation type="list" allowBlank="1" showInputMessage="1" showErrorMessage="1" sqref="M15:M23">
      <formula1>$BA$13:$BA$16</formula1>
    </dataValidation>
    <dataValidation type="list" allowBlank="1" showInputMessage="1" showErrorMessage="1" sqref="BA13:BA15">
      <formula1>$BA$13:$BA$15</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'AÇÕES ESTRATÉGICAS - DESCRIÇÃO '!$C$2:$C$22</xm:f>
          </x14:formula1>
          <xm:sqref>E23</xm:sqref>
        </x14:dataValidation>
        <x14:dataValidation type="list" allowBlank="1" showInputMessage="1" showErrorMessage="1">
          <x14:formula1>
            <xm:f>[3]Resumo!#REF!</xm:f>
          </x14:formula1>
          <xm:sqref>E19:E22</xm:sqref>
        </x14:dataValidation>
        <x14:dataValidation type="list" allowBlank="1" showInputMessage="1" showErrorMessage="1">
          <x14:formula1>
            <xm:f>'[3]Ações Estratégicas - Descrição'!#REF!</xm:f>
          </x14:formula1>
          <xm:sqref>E15:E18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BA84"/>
  <sheetViews>
    <sheetView showGridLines="0" topLeftCell="F21" zoomScale="40" zoomScaleNormal="40" zoomScaleSheetLayoutView="80" workbookViewId="0">
      <selection activeCell="G26" sqref="G26:J26"/>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9.140625" style="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422</v>
      </c>
      <c r="H8" s="570"/>
      <c r="I8" s="570"/>
      <c r="J8" s="570"/>
      <c r="K8" s="570"/>
      <c r="L8" s="570"/>
      <c r="M8" s="570"/>
      <c r="N8" s="570"/>
      <c r="O8" s="570"/>
      <c r="P8" s="571"/>
      <c r="Q8" s="1" t="b">
        <f>G8='Quadro Geral'!E12</f>
        <v>1</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526</v>
      </c>
      <c r="H9" s="570"/>
      <c r="I9" s="570"/>
      <c r="J9" s="570"/>
      <c r="K9" s="570"/>
      <c r="L9" s="570"/>
      <c r="M9" s="570"/>
      <c r="N9" s="570"/>
      <c r="O9" s="570"/>
      <c r="P9" s="571"/>
      <c r="Q9" s="30" t="s">
        <v>702</v>
      </c>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t="str">
        <f>'Quadro Geral'!G12</f>
        <v>Promover o exercício ético e qualificado da profissão</v>
      </c>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198" t="s">
        <v>289</v>
      </c>
      <c r="D13" s="199" t="s">
        <v>288</v>
      </c>
      <c r="E13" s="130" t="s">
        <v>217</v>
      </c>
      <c r="F13" s="582"/>
      <c r="G13" s="582"/>
      <c r="H13" s="198" t="s">
        <v>373</v>
      </c>
      <c r="I13" s="198" t="s">
        <v>374</v>
      </c>
      <c r="J13" s="198"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132.75" x14ac:dyDescent="0.5">
      <c r="A15" s="590" t="s">
        <v>514</v>
      </c>
      <c r="B15" s="591"/>
      <c r="C15" s="207">
        <v>40</v>
      </c>
      <c r="D15" s="42" t="s">
        <v>561</v>
      </c>
      <c r="E15" s="201" t="s">
        <v>254</v>
      </c>
      <c r="F15" s="61" t="s">
        <v>562</v>
      </c>
      <c r="G15" s="210"/>
      <c r="H15" s="231"/>
      <c r="I15" s="231"/>
      <c r="J15" s="231">
        <f>H15+I15</f>
        <v>0</v>
      </c>
      <c r="K15" s="151">
        <f>J15-G15</f>
        <v>0</v>
      </c>
      <c r="L15" s="152">
        <f>IFERROR(K15/G15*100,0)</f>
        <v>0</v>
      </c>
      <c r="M15" s="152" t="s">
        <v>371</v>
      </c>
      <c r="N15" s="153"/>
      <c r="O15" s="154">
        <f>IFERROR(N15/J15*100,)</f>
        <v>0</v>
      </c>
      <c r="P15" s="155"/>
      <c r="Z15" s="3"/>
      <c r="AA15" s="118"/>
      <c r="AB15" s="116"/>
      <c r="AC15" s="116"/>
      <c r="AD15" s="116"/>
      <c r="AE15" s="116"/>
      <c r="AF15" s="116"/>
      <c r="AG15" s="3"/>
      <c r="AH15" s="3"/>
      <c r="AI15" s="3"/>
      <c r="AJ15" s="3"/>
      <c r="AZ15" s="188"/>
      <c r="BA15" s="188" t="s">
        <v>213</v>
      </c>
    </row>
    <row r="16" spans="1:53" ht="52.5" x14ac:dyDescent="0.5">
      <c r="A16" s="590" t="s">
        <v>514</v>
      </c>
      <c r="B16" s="591"/>
      <c r="C16" s="206">
        <v>1</v>
      </c>
      <c r="D16" s="61" t="s">
        <v>563</v>
      </c>
      <c r="E16" s="201" t="s">
        <v>254</v>
      </c>
      <c r="F16" s="61" t="s">
        <v>562</v>
      </c>
      <c r="G16" s="210"/>
      <c r="H16" s="231"/>
      <c r="I16" s="231"/>
      <c r="J16" s="231">
        <f t="shared" ref="J16:J23" si="1">H16+I16</f>
        <v>0</v>
      </c>
      <c r="K16" s="151">
        <f t="shared" ref="K16:K22" si="2">J16-G16</f>
        <v>0</v>
      </c>
      <c r="L16" s="152">
        <f t="shared" ref="L16:L24" si="3">IFERROR(K16/G16*100,0)</f>
        <v>0</v>
      </c>
      <c r="M16" s="152" t="s">
        <v>371</v>
      </c>
      <c r="N16" s="153"/>
      <c r="O16" s="154">
        <f t="shared" ref="O16:O24" si="4">IFERROR(N16/J16*100,)</f>
        <v>0</v>
      </c>
      <c r="P16" s="155"/>
      <c r="Z16" s="3"/>
      <c r="AA16" s="118"/>
      <c r="AB16" s="116"/>
      <c r="AC16" s="116"/>
      <c r="AD16" s="116"/>
      <c r="AE16" s="116"/>
      <c r="AF16" s="116"/>
      <c r="AG16" s="3"/>
      <c r="AH16" s="3"/>
      <c r="AI16" s="3"/>
      <c r="AJ16" s="3"/>
      <c r="AZ16" s="188"/>
      <c r="BA16" s="188" t="s">
        <v>371</v>
      </c>
    </row>
    <row r="17" spans="1:36" ht="78.75" x14ac:dyDescent="0.4">
      <c r="A17" s="590" t="s">
        <v>514</v>
      </c>
      <c r="B17" s="591"/>
      <c r="C17" s="208">
        <v>13</v>
      </c>
      <c r="D17" s="42" t="s">
        <v>564</v>
      </c>
      <c r="E17" s="201" t="s">
        <v>254</v>
      </c>
      <c r="F17" s="61" t="s">
        <v>562</v>
      </c>
      <c r="G17" s="210"/>
      <c r="H17" s="231"/>
      <c r="I17" s="231"/>
      <c r="J17" s="231">
        <f t="shared" si="1"/>
        <v>0</v>
      </c>
      <c r="K17" s="151">
        <f t="shared" si="2"/>
        <v>0</v>
      </c>
      <c r="L17" s="152">
        <f t="shared" si="3"/>
        <v>0</v>
      </c>
      <c r="M17" s="152" t="s">
        <v>371</v>
      </c>
      <c r="N17" s="153"/>
      <c r="O17" s="154">
        <f t="shared" si="4"/>
        <v>0</v>
      </c>
      <c r="P17" s="155"/>
      <c r="Z17" s="3"/>
      <c r="AA17" s="118"/>
      <c r="AB17" s="116"/>
      <c r="AC17" s="116"/>
      <c r="AD17" s="116"/>
      <c r="AE17" s="116"/>
      <c r="AF17" s="116"/>
      <c r="AG17" s="3"/>
      <c r="AH17" s="3"/>
      <c r="AI17" s="3"/>
      <c r="AJ17" s="3"/>
    </row>
    <row r="18" spans="1:36" ht="52.5" x14ac:dyDescent="0.4">
      <c r="A18" s="590" t="s">
        <v>513</v>
      </c>
      <c r="B18" s="591"/>
      <c r="C18" s="208">
        <v>300</v>
      </c>
      <c r="D18" s="209" t="s">
        <v>565</v>
      </c>
      <c r="E18" s="201" t="s">
        <v>254</v>
      </c>
      <c r="F18" s="61" t="s">
        <v>562</v>
      </c>
      <c r="G18" s="210">
        <v>5000</v>
      </c>
      <c r="H18" s="231">
        <v>0</v>
      </c>
      <c r="I18" s="231">
        <v>0</v>
      </c>
      <c r="J18" s="231">
        <f t="shared" si="1"/>
        <v>0</v>
      </c>
      <c r="K18" s="151">
        <f t="shared" si="2"/>
        <v>-5000</v>
      </c>
      <c r="L18" s="152">
        <f t="shared" si="3"/>
        <v>-100</v>
      </c>
      <c r="M18" s="152"/>
      <c r="N18" s="153"/>
      <c r="O18" s="154">
        <f t="shared" si="4"/>
        <v>0</v>
      </c>
      <c r="P18" s="155"/>
      <c r="Z18" s="3"/>
      <c r="AA18" s="118"/>
      <c r="AB18" s="116"/>
      <c r="AC18" s="116"/>
      <c r="AD18" s="116"/>
      <c r="AE18" s="116"/>
      <c r="AF18" s="116"/>
      <c r="AG18" s="3"/>
      <c r="AH18" s="3"/>
      <c r="AI18" s="3"/>
      <c r="AJ18" s="3"/>
    </row>
    <row r="19" spans="1:36" ht="28.5" x14ac:dyDescent="0.25">
      <c r="A19" s="590" t="s">
        <v>513</v>
      </c>
      <c r="B19" s="591"/>
      <c r="C19" s="208">
        <v>2</v>
      </c>
      <c r="D19" s="201" t="s">
        <v>566</v>
      </c>
      <c r="E19" s="201" t="s">
        <v>254</v>
      </c>
      <c r="F19" s="61" t="s">
        <v>567</v>
      </c>
      <c r="G19" s="210">
        <v>2000</v>
      </c>
      <c r="H19" s="231">
        <v>0</v>
      </c>
      <c r="I19" s="231">
        <v>0</v>
      </c>
      <c r="J19" s="231">
        <f t="shared" si="1"/>
        <v>0</v>
      </c>
      <c r="K19" s="151">
        <f t="shared" si="2"/>
        <v>-2000</v>
      </c>
      <c r="L19" s="152">
        <f t="shared" si="3"/>
        <v>-100</v>
      </c>
      <c r="M19" s="152"/>
      <c r="N19" s="153"/>
      <c r="O19" s="154">
        <f t="shared" si="4"/>
        <v>0</v>
      </c>
      <c r="P19" s="155"/>
      <c r="Z19" s="3"/>
      <c r="AA19" s="3"/>
      <c r="AB19" s="3"/>
      <c r="AC19" s="3"/>
      <c r="AD19" s="3"/>
      <c r="AE19" s="3"/>
      <c r="AF19" s="3"/>
      <c r="AG19" s="3"/>
      <c r="AH19" s="3"/>
      <c r="AI19" s="3"/>
      <c r="AJ19" s="3"/>
    </row>
    <row r="20" spans="1:36" ht="55.5" customHeight="1" x14ac:dyDescent="0.25">
      <c r="A20" s="590" t="s">
        <v>513</v>
      </c>
      <c r="B20" s="591"/>
      <c r="C20" s="208">
        <v>4</v>
      </c>
      <c r="D20" s="201" t="s">
        <v>568</v>
      </c>
      <c r="E20" s="201" t="s">
        <v>254</v>
      </c>
      <c r="F20" s="61" t="s">
        <v>567</v>
      </c>
      <c r="G20" s="210">
        <v>2000</v>
      </c>
      <c r="H20" s="231"/>
      <c r="I20" s="231">
        <v>0</v>
      </c>
      <c r="J20" s="231">
        <f t="shared" si="1"/>
        <v>0</v>
      </c>
      <c r="K20" s="151">
        <f t="shared" si="2"/>
        <v>-2000</v>
      </c>
      <c r="L20" s="152">
        <f t="shared" si="3"/>
        <v>-100</v>
      </c>
      <c r="M20" s="152" t="s">
        <v>371</v>
      </c>
      <c r="N20" s="153"/>
      <c r="O20" s="154">
        <f t="shared" si="4"/>
        <v>0</v>
      </c>
      <c r="P20" s="155"/>
      <c r="Z20" s="3"/>
      <c r="AA20" s="3"/>
      <c r="AB20" s="3"/>
      <c r="AC20" s="3"/>
      <c r="AD20" s="3"/>
      <c r="AE20" s="3"/>
      <c r="AF20" s="3"/>
      <c r="AG20" s="3"/>
      <c r="AH20" s="3"/>
      <c r="AI20" s="3"/>
      <c r="AJ20" s="3"/>
    </row>
    <row r="21" spans="1:36" ht="55.5" customHeight="1" x14ac:dyDescent="0.25">
      <c r="A21" s="590" t="s">
        <v>514</v>
      </c>
      <c r="B21" s="591"/>
      <c r="C21" s="200">
        <v>12</v>
      </c>
      <c r="D21" s="61" t="s">
        <v>569</v>
      </c>
      <c r="E21" s="201" t="s">
        <v>254</v>
      </c>
      <c r="F21" s="61" t="s">
        <v>562</v>
      </c>
      <c r="G21" s="210"/>
      <c r="H21" s="231">
        <v>0</v>
      </c>
      <c r="I21" s="231">
        <v>0</v>
      </c>
      <c r="J21" s="231">
        <f t="shared" si="1"/>
        <v>0</v>
      </c>
      <c r="K21" s="151">
        <f t="shared" si="2"/>
        <v>0</v>
      </c>
      <c r="L21" s="152">
        <f t="shared" si="3"/>
        <v>0</v>
      </c>
      <c r="M21" s="152"/>
      <c r="N21" s="153"/>
      <c r="O21" s="154">
        <f t="shared" si="4"/>
        <v>0</v>
      </c>
      <c r="P21" s="155"/>
      <c r="AA21" s="178"/>
    </row>
    <row r="22" spans="1:36" ht="52.5" x14ac:dyDescent="0.25">
      <c r="A22" s="590" t="s">
        <v>512</v>
      </c>
      <c r="B22" s="591"/>
      <c r="C22" s="200">
        <v>1</v>
      </c>
      <c r="D22" s="61" t="s">
        <v>570</v>
      </c>
      <c r="E22" s="61" t="s">
        <v>254</v>
      </c>
      <c r="F22" s="61" t="s">
        <v>524</v>
      </c>
      <c r="G22" s="210">
        <v>114589.73</v>
      </c>
      <c r="H22" s="231">
        <v>0</v>
      </c>
      <c r="I22" s="231">
        <v>24153.65</v>
      </c>
      <c r="J22" s="231">
        <f t="shared" si="1"/>
        <v>24153.65</v>
      </c>
      <c r="K22" s="151">
        <f t="shared" si="2"/>
        <v>-90436.079999999987</v>
      </c>
      <c r="L22" s="152">
        <f t="shared" si="3"/>
        <v>-78.921627618810163</v>
      </c>
      <c r="M22" s="152"/>
      <c r="N22" s="153"/>
      <c r="O22" s="154">
        <f t="shared" si="4"/>
        <v>0</v>
      </c>
      <c r="P22" s="155"/>
    </row>
    <row r="23" spans="1:36" ht="55.5" customHeight="1" x14ac:dyDescent="0.25">
      <c r="A23" s="590"/>
      <c r="B23" s="591"/>
      <c r="C23" s="61"/>
      <c r="D23" s="61"/>
      <c r="E23" s="61"/>
      <c r="F23" s="61"/>
      <c r="G23" s="231"/>
      <c r="H23" s="231"/>
      <c r="I23" s="231"/>
      <c r="J23" s="231">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234">
        <f>SUM(G14:G23)</f>
        <v>123589.73</v>
      </c>
      <c r="H24" s="234">
        <f>SUM(H14:H23)</f>
        <v>0</v>
      </c>
      <c r="I24" s="234">
        <f>SUM(I14:I23)</f>
        <v>24153.65</v>
      </c>
      <c r="J24" s="234">
        <f>SUM(J14:J23)</f>
        <v>24153.65</v>
      </c>
      <c r="K24" s="156">
        <f>J24-G24</f>
        <v>-99436.079999999987</v>
      </c>
      <c r="L24" s="156">
        <f t="shared" si="3"/>
        <v>-80.456588099998271</v>
      </c>
      <c r="M24" s="156"/>
      <c r="N24" s="157">
        <f>SUM(N14:N23)</f>
        <v>0</v>
      </c>
      <c r="O24" s="156">
        <f t="shared" si="4"/>
        <v>0</v>
      </c>
      <c r="P24" s="158"/>
    </row>
    <row r="25" spans="1:36" s="307" customFormat="1" ht="60.75" customHeight="1" x14ac:dyDescent="0.45">
      <c r="G25" s="309">
        <f>'Quadro Geral'!J12</f>
        <v>123589.73</v>
      </c>
      <c r="H25" s="309">
        <f>'Quadro Geral'!K12</f>
        <v>0</v>
      </c>
      <c r="I25" s="317">
        <f>'Quadro Geral'!L12</f>
        <v>24153.65</v>
      </c>
      <c r="J25" s="317">
        <f>'Quadro Geral'!M12</f>
        <v>24153.65</v>
      </c>
    </row>
    <row r="26" spans="1:36" x14ac:dyDescent="0.4">
      <c r="A26" s="306" t="s">
        <v>296</v>
      </c>
      <c r="B26" s="306"/>
      <c r="C26" s="306"/>
      <c r="D26" s="306"/>
      <c r="E26" s="306"/>
      <c r="F26" s="306"/>
      <c r="G26" s="306" t="b">
        <f>G24=G25</f>
        <v>1</v>
      </c>
      <c r="H26" s="306" t="b">
        <f t="shared" ref="H26:J26" si="5">H24=H25</f>
        <v>1</v>
      </c>
      <c r="I26" s="306" t="b">
        <f t="shared" si="5"/>
        <v>1</v>
      </c>
      <c r="J26" s="306" t="b">
        <f t="shared" si="5"/>
        <v>1</v>
      </c>
      <c r="K26" s="306"/>
      <c r="L26" s="306"/>
      <c r="M26" s="306"/>
      <c r="N26" s="306"/>
      <c r="O26" s="306"/>
      <c r="P26" s="306"/>
    </row>
    <row r="27" spans="1:36" ht="36" customHeight="1" x14ac:dyDescent="0.25">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t="15" hidden="1" x14ac:dyDescent="0.25">
      <c r="A36" s="598" t="s">
        <v>387</v>
      </c>
      <c r="B36" s="599"/>
      <c r="C36" s="599"/>
      <c r="D36" s="599"/>
      <c r="E36" s="599"/>
      <c r="F36" s="599"/>
      <c r="G36" s="599"/>
      <c r="H36" s="599"/>
      <c r="I36" s="599"/>
      <c r="J36" s="599"/>
      <c r="K36" s="599"/>
      <c r="L36" s="599"/>
      <c r="M36" s="599"/>
      <c r="N36" s="599"/>
      <c r="O36" s="599"/>
      <c r="P36" s="600"/>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1.5"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374.25" customHeight="1" thickBot="1" x14ac:dyDescent="0.3">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1">
    <mergeCell ref="A6:P6"/>
    <mergeCell ref="A7:P7"/>
    <mergeCell ref="A8:F8"/>
    <mergeCell ref="G8:P8"/>
    <mergeCell ref="A9:F9"/>
    <mergeCell ref="G9:P9"/>
    <mergeCell ref="A24:F24"/>
    <mergeCell ref="P11:P13"/>
    <mergeCell ref="C12:E12"/>
    <mergeCell ref="F12:F13"/>
    <mergeCell ref="G12:G13"/>
    <mergeCell ref="H12:J12"/>
    <mergeCell ref="K12:K13"/>
    <mergeCell ref="L12:L13"/>
    <mergeCell ref="N12:N13"/>
    <mergeCell ref="O12:O13"/>
    <mergeCell ref="N11:O11"/>
    <mergeCell ref="A11:B13"/>
    <mergeCell ref="C11:F11"/>
    <mergeCell ref="G11:J11"/>
    <mergeCell ref="K11:L11"/>
    <mergeCell ref="M11:M13"/>
    <mergeCell ref="A19:B19"/>
    <mergeCell ref="A20:B20"/>
    <mergeCell ref="A21:B21"/>
    <mergeCell ref="A22:B22"/>
    <mergeCell ref="A23:B23"/>
    <mergeCell ref="Q14:W14"/>
    <mergeCell ref="A15:B15"/>
    <mergeCell ref="A16:B16"/>
    <mergeCell ref="A17:B17"/>
    <mergeCell ref="A18:B18"/>
    <mergeCell ref="C33:F33"/>
    <mergeCell ref="A35:P35"/>
    <mergeCell ref="A36:P84"/>
    <mergeCell ref="A27:P27"/>
    <mergeCell ref="A28:P28"/>
    <mergeCell ref="A29:F29"/>
    <mergeCell ref="C30:F30"/>
    <mergeCell ref="C31:F31"/>
    <mergeCell ref="C32:F32"/>
  </mergeCells>
  <dataValidations count="2">
    <dataValidation type="list" allowBlank="1" showInputMessage="1" showErrorMessage="1" sqref="M15:M23">
      <formula1>$BA$13:$BA$16</formula1>
    </dataValidation>
    <dataValidation type="list" allowBlank="1" showInputMessage="1" showErrorMessage="1" sqref="BA13:BA15">
      <formula1>$BA$13:$BA$15</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'AÇÕES ESTRATÉGICAS - DESCRIÇÃO '!$C$2:$C$22</xm:f>
          </x14:formula1>
          <xm:sqref>E23</xm:sqref>
        </x14:dataValidation>
        <x14:dataValidation type="list" allowBlank="1" showInputMessage="1" showErrorMessage="1">
          <x14:formula1>
            <xm:f>'[3]Ações Estratégicas - Descrição'!#REF!</xm:f>
          </x14:formula1>
          <xm:sqref>E15:E22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BA84"/>
  <sheetViews>
    <sheetView showGridLines="0" topLeftCell="A19" zoomScale="40" zoomScaleNormal="40" zoomScaleSheetLayoutView="80" workbookViewId="0">
      <selection activeCell="G26" sqref="G26:J26"/>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9.140625" style="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424</v>
      </c>
      <c r="H8" s="570"/>
      <c r="I8" s="570"/>
      <c r="J8" s="570"/>
      <c r="K8" s="570"/>
      <c r="L8" s="570"/>
      <c r="M8" s="570"/>
      <c r="N8" s="570"/>
      <c r="O8" s="570"/>
      <c r="P8" s="571"/>
      <c r="Q8" s="1" t="b">
        <f>G8='Quadro Geral'!E13</f>
        <v>1</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526</v>
      </c>
      <c r="H9" s="570"/>
      <c r="I9" s="570"/>
      <c r="J9" s="570"/>
      <c r="K9" s="570"/>
      <c r="L9" s="570"/>
      <c r="M9" s="570"/>
      <c r="N9" s="570"/>
      <c r="O9" s="570"/>
      <c r="P9" s="571"/>
      <c r="Q9" s="30" t="s">
        <v>702</v>
      </c>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t="str">
        <f>'Quadro Geral'!G13</f>
        <v>Assegurar a sustentabilidade financeira</v>
      </c>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198" t="s">
        <v>289</v>
      </c>
      <c r="D13" s="199" t="s">
        <v>288</v>
      </c>
      <c r="E13" s="130" t="s">
        <v>217</v>
      </c>
      <c r="F13" s="582"/>
      <c r="G13" s="582"/>
      <c r="H13" s="198" t="s">
        <v>373</v>
      </c>
      <c r="I13" s="198" t="s">
        <v>374</v>
      </c>
      <c r="J13" s="198"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78.75" x14ac:dyDescent="0.5">
      <c r="A15" s="590" t="s">
        <v>514</v>
      </c>
      <c r="B15" s="591"/>
      <c r="C15" s="206">
        <v>1</v>
      </c>
      <c r="D15" s="61" t="s">
        <v>571</v>
      </c>
      <c r="E15" s="61" t="s">
        <v>281</v>
      </c>
      <c r="F15" s="61" t="s">
        <v>572</v>
      </c>
      <c r="G15" s="210">
        <v>13500</v>
      </c>
      <c r="H15" s="231">
        <v>0</v>
      </c>
      <c r="I15" s="231">
        <v>13500</v>
      </c>
      <c r="J15" s="231">
        <f>H15+I15</f>
        <v>13500</v>
      </c>
      <c r="K15" s="151">
        <f>J15-G15</f>
        <v>0</v>
      </c>
      <c r="L15" s="152">
        <f>IFERROR(K15/G15*100,0)</f>
        <v>0</v>
      </c>
      <c r="M15" s="152" t="s">
        <v>371</v>
      </c>
      <c r="N15" s="153"/>
      <c r="O15" s="154">
        <f>IFERROR(N15/J15*100,)</f>
        <v>0</v>
      </c>
      <c r="P15" s="155" t="s">
        <v>583</v>
      </c>
      <c r="Z15" s="3"/>
      <c r="AA15" s="118"/>
      <c r="AB15" s="116"/>
      <c r="AC15" s="116"/>
      <c r="AD15" s="116"/>
      <c r="AE15" s="116"/>
      <c r="AF15" s="116"/>
      <c r="AG15" s="3"/>
      <c r="AH15" s="3"/>
      <c r="AI15" s="3"/>
      <c r="AJ15" s="3"/>
      <c r="AZ15" s="188"/>
      <c r="BA15" s="188" t="s">
        <v>213</v>
      </c>
    </row>
    <row r="16" spans="1:53" ht="105" x14ac:dyDescent="0.5">
      <c r="A16" s="590" t="s">
        <v>514</v>
      </c>
      <c r="B16" s="591"/>
      <c r="C16" s="200">
        <v>12</v>
      </c>
      <c r="D16" s="61" t="s">
        <v>573</v>
      </c>
      <c r="E16" s="61" t="s">
        <v>281</v>
      </c>
      <c r="F16" s="61" t="s">
        <v>574</v>
      </c>
      <c r="G16" s="210"/>
      <c r="H16" s="231"/>
      <c r="I16" s="231"/>
      <c r="J16" s="231">
        <f t="shared" ref="J16:J23" si="1">H16+I16</f>
        <v>0</v>
      </c>
      <c r="K16" s="151">
        <f t="shared" ref="K16:K22" si="2">J16-G16</f>
        <v>0</v>
      </c>
      <c r="L16" s="152">
        <f t="shared" ref="L16:L24" si="3">IFERROR(K16/G16*100,0)</f>
        <v>0</v>
      </c>
      <c r="M16" s="152" t="s">
        <v>371</v>
      </c>
      <c r="N16" s="153"/>
      <c r="O16" s="154">
        <f t="shared" ref="O16:O24" si="4">IFERROR(N16/J16*100,)</f>
        <v>0</v>
      </c>
      <c r="P16" s="155" t="s">
        <v>583</v>
      </c>
      <c r="Z16" s="3"/>
      <c r="AA16" s="118"/>
      <c r="AB16" s="116"/>
      <c r="AC16" s="116"/>
      <c r="AD16" s="116"/>
      <c r="AE16" s="116"/>
      <c r="AF16" s="116"/>
      <c r="AG16" s="3"/>
      <c r="AH16" s="3"/>
      <c r="AI16" s="3"/>
      <c r="AJ16" s="3"/>
      <c r="AZ16" s="188"/>
      <c r="BA16" s="188" t="s">
        <v>371</v>
      </c>
    </row>
    <row r="17" spans="1:36" ht="131.25" x14ac:dyDescent="0.4">
      <c r="A17" s="590" t="s">
        <v>514</v>
      </c>
      <c r="B17" s="591"/>
      <c r="C17" s="200">
        <v>2</v>
      </c>
      <c r="D17" s="61" t="s">
        <v>575</v>
      </c>
      <c r="E17" s="61" t="s">
        <v>281</v>
      </c>
      <c r="F17" s="61" t="s">
        <v>576</v>
      </c>
      <c r="G17" s="210"/>
      <c r="H17" s="231"/>
      <c r="I17" s="231"/>
      <c r="J17" s="231">
        <f t="shared" si="1"/>
        <v>0</v>
      </c>
      <c r="K17" s="151">
        <f t="shared" si="2"/>
        <v>0</v>
      </c>
      <c r="L17" s="152">
        <f t="shared" si="3"/>
        <v>0</v>
      </c>
      <c r="M17" s="152" t="s">
        <v>371</v>
      </c>
      <c r="N17" s="153"/>
      <c r="O17" s="154">
        <f t="shared" si="4"/>
        <v>0</v>
      </c>
      <c r="P17" s="155" t="s">
        <v>583</v>
      </c>
      <c r="Z17" s="3"/>
      <c r="AA17" s="118"/>
      <c r="AB17" s="116"/>
      <c r="AC17" s="116"/>
      <c r="AD17" s="116"/>
      <c r="AE17" s="116"/>
      <c r="AF17" s="116"/>
      <c r="AG17" s="3"/>
      <c r="AH17" s="3"/>
      <c r="AI17" s="3"/>
      <c r="AJ17" s="3"/>
    </row>
    <row r="18" spans="1:36" ht="78.75" x14ac:dyDescent="0.4">
      <c r="A18" s="590" t="s">
        <v>513</v>
      </c>
      <c r="B18" s="591"/>
      <c r="C18" s="200">
        <v>2</v>
      </c>
      <c r="D18" s="61" t="s">
        <v>577</v>
      </c>
      <c r="E18" s="61" t="s">
        <v>281</v>
      </c>
      <c r="F18" s="61" t="s">
        <v>578</v>
      </c>
      <c r="G18" s="210">
        <v>4000</v>
      </c>
      <c r="H18" s="231">
        <v>0</v>
      </c>
      <c r="I18" s="231">
        <v>0</v>
      </c>
      <c r="J18" s="231">
        <f t="shared" si="1"/>
        <v>0</v>
      </c>
      <c r="K18" s="151">
        <f t="shared" si="2"/>
        <v>-4000</v>
      </c>
      <c r="L18" s="152">
        <f t="shared" si="3"/>
        <v>-100</v>
      </c>
      <c r="M18" s="152" t="s">
        <v>371</v>
      </c>
      <c r="N18" s="153"/>
      <c r="O18" s="154">
        <f t="shared" si="4"/>
        <v>0</v>
      </c>
      <c r="P18" s="155" t="s">
        <v>583</v>
      </c>
      <c r="Z18" s="3"/>
      <c r="AA18" s="118"/>
      <c r="AB18" s="116"/>
      <c r="AC18" s="116"/>
      <c r="AD18" s="116"/>
      <c r="AE18" s="116"/>
      <c r="AF18" s="116"/>
      <c r="AG18" s="3"/>
      <c r="AH18" s="3"/>
      <c r="AI18" s="3"/>
      <c r="AJ18" s="3"/>
    </row>
    <row r="19" spans="1:36" ht="78.75" x14ac:dyDescent="0.25">
      <c r="A19" s="590" t="s">
        <v>513</v>
      </c>
      <c r="B19" s="591"/>
      <c r="C19" s="200">
        <v>2</v>
      </c>
      <c r="D19" s="61" t="s">
        <v>579</v>
      </c>
      <c r="E19" s="61" t="s">
        <v>281</v>
      </c>
      <c r="F19" s="61" t="s">
        <v>578</v>
      </c>
      <c r="G19" s="210">
        <v>2000</v>
      </c>
      <c r="H19" s="231">
        <v>0</v>
      </c>
      <c r="I19" s="231">
        <v>0</v>
      </c>
      <c r="J19" s="231">
        <f t="shared" si="1"/>
        <v>0</v>
      </c>
      <c r="K19" s="151">
        <f t="shared" si="2"/>
        <v>-2000</v>
      </c>
      <c r="L19" s="152">
        <f t="shared" si="3"/>
        <v>-100</v>
      </c>
      <c r="M19" s="152" t="s">
        <v>371</v>
      </c>
      <c r="N19" s="153"/>
      <c r="O19" s="154">
        <f t="shared" si="4"/>
        <v>0</v>
      </c>
      <c r="P19" s="155" t="s">
        <v>583</v>
      </c>
      <c r="Z19" s="3"/>
      <c r="AA19" s="3"/>
      <c r="AB19" s="3"/>
      <c r="AC19" s="3"/>
      <c r="AD19" s="3"/>
      <c r="AE19" s="3"/>
      <c r="AF19" s="3"/>
      <c r="AG19" s="3"/>
      <c r="AH19" s="3"/>
      <c r="AI19" s="3"/>
      <c r="AJ19" s="3"/>
    </row>
    <row r="20" spans="1:36" ht="78.75" x14ac:dyDescent="0.25">
      <c r="A20" s="590" t="s">
        <v>513</v>
      </c>
      <c r="B20" s="591"/>
      <c r="C20" s="200">
        <v>2</v>
      </c>
      <c r="D20" s="61" t="s">
        <v>580</v>
      </c>
      <c r="E20" s="61" t="s">
        <v>281</v>
      </c>
      <c r="F20" s="61" t="s">
        <v>578</v>
      </c>
      <c r="G20" s="210">
        <v>6000</v>
      </c>
      <c r="H20" s="231">
        <v>0</v>
      </c>
      <c r="I20" s="231">
        <v>0</v>
      </c>
      <c r="J20" s="231">
        <f t="shared" si="1"/>
        <v>0</v>
      </c>
      <c r="K20" s="151">
        <f t="shared" si="2"/>
        <v>-6000</v>
      </c>
      <c r="L20" s="152">
        <f t="shared" si="3"/>
        <v>-100</v>
      </c>
      <c r="M20" s="152" t="s">
        <v>371</v>
      </c>
      <c r="N20" s="153"/>
      <c r="O20" s="154">
        <f t="shared" si="4"/>
        <v>0</v>
      </c>
      <c r="P20" s="155" t="s">
        <v>583</v>
      </c>
      <c r="Z20" s="3"/>
      <c r="AA20" s="3"/>
      <c r="AB20" s="3"/>
      <c r="AC20" s="3"/>
      <c r="AD20" s="3"/>
      <c r="AE20" s="3"/>
      <c r="AF20" s="3"/>
      <c r="AG20" s="3"/>
      <c r="AH20" s="3"/>
      <c r="AI20" s="3"/>
      <c r="AJ20" s="3"/>
    </row>
    <row r="21" spans="1:36" ht="52.5" x14ac:dyDescent="0.25">
      <c r="A21" s="590" t="s">
        <v>512</v>
      </c>
      <c r="B21" s="591"/>
      <c r="C21" s="200">
        <v>1</v>
      </c>
      <c r="D21" s="61" t="s">
        <v>556</v>
      </c>
      <c r="E21" s="61" t="s">
        <v>281</v>
      </c>
      <c r="F21" s="61" t="s">
        <v>524</v>
      </c>
      <c r="G21" s="232">
        <v>203021.65</v>
      </c>
      <c r="H21" s="231">
        <v>67312.039999999994</v>
      </c>
      <c r="I21" s="231">
        <f>153664.23-H21</f>
        <v>86352.190000000017</v>
      </c>
      <c r="J21" s="231">
        <f t="shared" si="1"/>
        <v>153664.23000000001</v>
      </c>
      <c r="K21" s="151">
        <f t="shared" si="2"/>
        <v>-49357.419999999984</v>
      </c>
      <c r="L21" s="152">
        <f t="shared" si="3"/>
        <v>-24.311407182435953</v>
      </c>
      <c r="M21" s="152" t="s">
        <v>371</v>
      </c>
      <c r="N21" s="153"/>
      <c r="O21" s="154">
        <f t="shared" si="4"/>
        <v>0</v>
      </c>
      <c r="P21" s="155" t="s">
        <v>583</v>
      </c>
      <c r="AA21" s="178"/>
    </row>
    <row r="22" spans="1:36" ht="78.75" x14ac:dyDescent="0.25">
      <c r="A22" s="590" t="s">
        <v>512</v>
      </c>
      <c r="B22" s="591"/>
      <c r="C22" s="200">
        <v>1</v>
      </c>
      <c r="D22" s="201" t="s">
        <v>581</v>
      </c>
      <c r="E22" s="61" t="s">
        <v>281</v>
      </c>
      <c r="F22" s="61" t="s">
        <v>582</v>
      </c>
      <c r="G22" s="210">
        <v>211820</v>
      </c>
      <c r="H22" s="231">
        <f>150378.4-H21</f>
        <v>83066.36</v>
      </c>
      <c r="I22" s="231">
        <f>G22-H22+40515-50.23+43507.35</f>
        <v>212725.76000000001</v>
      </c>
      <c r="J22" s="231">
        <f t="shared" si="1"/>
        <v>295792.12</v>
      </c>
      <c r="K22" s="151">
        <f t="shared" si="2"/>
        <v>83972.12</v>
      </c>
      <c r="L22" s="152">
        <f t="shared" si="3"/>
        <v>39.643149844207343</v>
      </c>
      <c r="M22" s="152" t="s">
        <v>371</v>
      </c>
      <c r="N22" s="153"/>
      <c r="O22" s="154">
        <f t="shared" si="4"/>
        <v>0</v>
      </c>
      <c r="P22" s="155" t="s">
        <v>583</v>
      </c>
    </row>
    <row r="23" spans="1:36" ht="55.5" customHeight="1" x14ac:dyDescent="0.25">
      <c r="A23" s="590"/>
      <c r="B23" s="591"/>
      <c r="C23" s="61"/>
      <c r="D23" s="61"/>
      <c r="E23" s="61"/>
      <c r="F23" s="61"/>
      <c r="G23" s="231"/>
      <c r="H23" s="231"/>
      <c r="I23" s="231"/>
      <c r="J23" s="231">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234">
        <f>SUM(G14:G23)</f>
        <v>440341.65</v>
      </c>
      <c r="H24" s="234">
        <f>SUM(H14:H23)</f>
        <v>150378.4</v>
      </c>
      <c r="I24" s="234">
        <f>SUM(I14:I23)</f>
        <v>312577.95</v>
      </c>
      <c r="J24" s="234">
        <f>SUM(J14:J23)</f>
        <v>462956.35</v>
      </c>
      <c r="K24" s="156">
        <f>J24-G24</f>
        <v>22614.699999999953</v>
      </c>
      <c r="L24" s="156">
        <f t="shared" si="3"/>
        <v>5.1357167780971782</v>
      </c>
      <c r="M24" s="156"/>
      <c r="N24" s="157">
        <f>SUM(N14:N23)</f>
        <v>0</v>
      </c>
      <c r="O24" s="156">
        <f t="shared" si="4"/>
        <v>0</v>
      </c>
      <c r="P24" s="158"/>
    </row>
    <row r="25" spans="1:36" ht="45.75" customHeight="1" x14ac:dyDescent="0.3">
      <c r="A25" s="1"/>
      <c r="B25" s="1"/>
      <c r="C25" s="1"/>
      <c r="D25" s="1"/>
      <c r="E25" s="1"/>
      <c r="F25" s="1"/>
      <c r="G25" s="235">
        <f>'Quadro Geral'!J13</f>
        <v>440341.65</v>
      </c>
      <c r="H25" s="235">
        <f>'Quadro Geral'!K13</f>
        <v>150378.4</v>
      </c>
      <c r="I25" s="316">
        <f>'Quadro Geral'!L13</f>
        <v>312577.94999999995</v>
      </c>
      <c r="J25" s="316">
        <f>'Quadro Geral'!M13</f>
        <v>462956.35</v>
      </c>
      <c r="K25" s="1"/>
      <c r="L25" s="1"/>
      <c r="M25" s="1"/>
      <c r="N25" s="1"/>
      <c r="O25" s="1"/>
      <c r="P25" s="1"/>
    </row>
    <row r="26" spans="1:36" x14ac:dyDescent="0.4">
      <c r="A26" s="306" t="s">
        <v>296</v>
      </c>
      <c r="B26" s="306"/>
      <c r="C26" s="306"/>
      <c r="D26" s="306"/>
      <c r="E26" s="306"/>
      <c r="F26" s="306"/>
      <c r="G26" s="306" t="b">
        <f>G24=G25</f>
        <v>1</v>
      </c>
      <c r="H26" s="306" t="b">
        <f t="shared" ref="H26:J26" si="5">H24=H25</f>
        <v>1</v>
      </c>
      <c r="I26" s="306" t="b">
        <f t="shared" si="5"/>
        <v>1</v>
      </c>
      <c r="J26" s="306" t="b">
        <f t="shared" si="5"/>
        <v>1</v>
      </c>
      <c r="K26" s="306"/>
      <c r="L26" s="306"/>
      <c r="M26" s="306"/>
      <c r="N26" s="306"/>
      <c r="O26" s="306"/>
      <c r="P26" s="306"/>
    </row>
    <row r="27" spans="1:36" ht="36" customHeight="1" x14ac:dyDescent="0.25">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t="15" hidden="1" x14ac:dyDescent="0.25">
      <c r="A36" s="598" t="s">
        <v>387</v>
      </c>
      <c r="B36" s="599"/>
      <c r="C36" s="599"/>
      <c r="D36" s="599"/>
      <c r="E36" s="599"/>
      <c r="F36" s="599"/>
      <c r="G36" s="599"/>
      <c r="H36" s="599"/>
      <c r="I36" s="599"/>
      <c r="J36" s="599"/>
      <c r="K36" s="599"/>
      <c r="L36" s="599"/>
      <c r="M36" s="599"/>
      <c r="N36" s="599"/>
      <c r="O36" s="599"/>
      <c r="P36" s="600"/>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1.5"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374.25" customHeight="1" thickBot="1" x14ac:dyDescent="0.3">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1">
    <mergeCell ref="A6:P6"/>
    <mergeCell ref="A7:P7"/>
    <mergeCell ref="A8:F8"/>
    <mergeCell ref="G8:P8"/>
    <mergeCell ref="A9:F9"/>
    <mergeCell ref="G9:P9"/>
    <mergeCell ref="A24:F24"/>
    <mergeCell ref="P11:P13"/>
    <mergeCell ref="C12:E12"/>
    <mergeCell ref="F12:F13"/>
    <mergeCell ref="G12:G13"/>
    <mergeCell ref="H12:J12"/>
    <mergeCell ref="K12:K13"/>
    <mergeCell ref="L12:L13"/>
    <mergeCell ref="N12:N13"/>
    <mergeCell ref="O12:O13"/>
    <mergeCell ref="N11:O11"/>
    <mergeCell ref="A11:B13"/>
    <mergeCell ref="C11:F11"/>
    <mergeCell ref="G11:J11"/>
    <mergeCell ref="K11:L11"/>
    <mergeCell ref="M11:M13"/>
    <mergeCell ref="A19:B19"/>
    <mergeCell ref="A20:B20"/>
    <mergeCell ref="A21:B21"/>
    <mergeCell ref="A22:B22"/>
    <mergeCell ref="A23:B23"/>
    <mergeCell ref="Q14:W14"/>
    <mergeCell ref="A15:B15"/>
    <mergeCell ref="A16:B16"/>
    <mergeCell ref="A17:B17"/>
    <mergeCell ref="A18:B18"/>
    <mergeCell ref="C33:F33"/>
    <mergeCell ref="A35:P35"/>
    <mergeCell ref="A36:P84"/>
    <mergeCell ref="A27:P27"/>
    <mergeCell ref="A28:P28"/>
    <mergeCell ref="A29:F29"/>
    <mergeCell ref="C30:F30"/>
    <mergeCell ref="C31:F31"/>
    <mergeCell ref="C32:F32"/>
  </mergeCells>
  <dataValidations count="2">
    <dataValidation type="list" allowBlank="1" showInputMessage="1" showErrorMessage="1" sqref="M15:M23">
      <formula1>$BA$13:$BA$16</formula1>
    </dataValidation>
    <dataValidation type="list" allowBlank="1" showInputMessage="1" showErrorMessage="1" sqref="BA13:BA15">
      <formula1>$BA$13:$BA$15</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'AÇÕES ESTRATÉGICAS - DESCRIÇÃO '!$C$2:$C$22</xm:f>
          </x14:formula1>
          <xm:sqref>E23</xm:sqref>
        </x14:dataValidation>
        <x14:dataValidation type="list" allowBlank="1" showInputMessage="1" showErrorMessage="1">
          <x14:formula1>
            <xm:f>[3]Resumo!#REF!</xm:f>
          </x14:formula1>
          <xm:sqref>E15:E22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BA84"/>
  <sheetViews>
    <sheetView showGridLines="0" topLeftCell="E21" zoomScale="40" zoomScaleNormal="40" zoomScaleSheetLayoutView="80" workbookViewId="0">
      <selection activeCell="G26" sqref="G26:J26"/>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27.7109375" style="1" bestFit="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426</v>
      </c>
      <c r="H8" s="570"/>
      <c r="I8" s="570"/>
      <c r="J8" s="570"/>
      <c r="K8" s="570"/>
      <c r="L8" s="570"/>
      <c r="M8" s="570"/>
      <c r="N8" s="570"/>
      <c r="O8" s="570"/>
      <c r="P8" s="571"/>
      <c r="Q8" s="307" t="b">
        <f>G8='Quadro Geral'!E14</f>
        <v>1</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526</v>
      </c>
      <c r="H9" s="570"/>
      <c r="I9" s="570"/>
      <c r="J9" s="570"/>
      <c r="K9" s="570"/>
      <c r="L9" s="570"/>
      <c r="M9" s="570"/>
      <c r="N9" s="570"/>
      <c r="O9" s="570"/>
      <c r="P9" s="571"/>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t="str">
        <f>'Quadro Geral'!G14</f>
        <v>Aprimorar e inovar os processos e as ações</v>
      </c>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198" t="s">
        <v>289</v>
      </c>
      <c r="D13" s="199" t="s">
        <v>288</v>
      </c>
      <c r="E13" s="130" t="s">
        <v>217</v>
      </c>
      <c r="F13" s="582"/>
      <c r="G13" s="582"/>
      <c r="H13" s="198" t="s">
        <v>373</v>
      </c>
      <c r="I13" s="198" t="s">
        <v>374</v>
      </c>
      <c r="J13" s="198"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78.75" x14ac:dyDescent="0.5">
      <c r="A15" s="590" t="s">
        <v>514</v>
      </c>
      <c r="B15" s="591"/>
      <c r="C15" s="200">
        <v>10</v>
      </c>
      <c r="D15" s="61" t="s">
        <v>584</v>
      </c>
      <c r="E15" s="61" t="s">
        <v>281</v>
      </c>
      <c r="F15" s="61" t="s">
        <v>585</v>
      </c>
      <c r="G15" s="210"/>
      <c r="H15" s="231"/>
      <c r="I15" s="231"/>
      <c r="J15" s="231">
        <f>H15+I15</f>
        <v>0</v>
      </c>
      <c r="K15" s="151">
        <f>J15-G15</f>
        <v>0</v>
      </c>
      <c r="L15" s="152">
        <f>IFERROR(K15/G15*100,0)</f>
        <v>0</v>
      </c>
      <c r="M15" s="152" t="s">
        <v>371</v>
      </c>
      <c r="N15" s="153"/>
      <c r="O15" s="154">
        <f>IFERROR(N15/J15*100,)</f>
        <v>0</v>
      </c>
      <c r="P15" s="155" t="s">
        <v>596</v>
      </c>
      <c r="Z15" s="3"/>
      <c r="AA15" s="118"/>
      <c r="AB15" s="116"/>
      <c r="AC15" s="116"/>
      <c r="AD15" s="116"/>
      <c r="AE15" s="116"/>
      <c r="AF15" s="116"/>
      <c r="AG15" s="3"/>
      <c r="AH15" s="3"/>
      <c r="AI15" s="3"/>
      <c r="AJ15" s="3"/>
      <c r="AZ15" s="188"/>
      <c r="BA15" s="188" t="s">
        <v>213</v>
      </c>
    </row>
    <row r="16" spans="1:53" ht="78.75" x14ac:dyDescent="0.5">
      <c r="A16" s="590" t="s">
        <v>514</v>
      </c>
      <c r="B16" s="591"/>
      <c r="C16" s="206">
        <v>1</v>
      </c>
      <c r="D16" s="61" t="s">
        <v>586</v>
      </c>
      <c r="E16" s="61" t="s">
        <v>281</v>
      </c>
      <c r="F16" s="61" t="s">
        <v>587</v>
      </c>
      <c r="G16" s="210"/>
      <c r="H16" s="231"/>
      <c r="I16" s="231"/>
      <c r="J16" s="231">
        <f t="shared" ref="J16:J23" si="1">H16+I16</f>
        <v>0</v>
      </c>
      <c r="K16" s="151">
        <f t="shared" ref="K16:K22" si="2">J16-G16</f>
        <v>0</v>
      </c>
      <c r="L16" s="152">
        <f t="shared" ref="L16:L24" si="3">IFERROR(K16/G16*100,0)</f>
        <v>0</v>
      </c>
      <c r="M16" s="152" t="s">
        <v>371</v>
      </c>
      <c r="N16" s="153"/>
      <c r="O16" s="154">
        <f t="shared" ref="O16:O24" si="4">IFERROR(N16/J16*100,)</f>
        <v>0</v>
      </c>
      <c r="P16" s="155" t="s">
        <v>596</v>
      </c>
      <c r="Z16" s="3"/>
      <c r="AA16" s="118"/>
      <c r="AB16" s="116"/>
      <c r="AC16" s="116"/>
      <c r="AD16" s="116"/>
      <c r="AE16" s="116"/>
      <c r="AF16" s="116"/>
      <c r="AG16" s="3"/>
      <c r="AH16" s="3"/>
      <c r="AI16" s="3"/>
      <c r="AJ16" s="3"/>
      <c r="AZ16" s="188"/>
      <c r="BA16" s="188" t="s">
        <v>371</v>
      </c>
    </row>
    <row r="17" spans="1:36" ht="78.75" x14ac:dyDescent="0.4">
      <c r="A17" s="590" t="s">
        <v>514</v>
      </c>
      <c r="B17" s="591"/>
      <c r="C17" s="208">
        <v>13</v>
      </c>
      <c r="D17" s="116" t="s">
        <v>588</v>
      </c>
      <c r="E17" s="61" t="s">
        <v>281</v>
      </c>
      <c r="F17" s="61" t="s">
        <v>589</v>
      </c>
      <c r="G17" s="210"/>
      <c r="H17" s="231"/>
      <c r="I17" s="231"/>
      <c r="J17" s="231">
        <f t="shared" si="1"/>
        <v>0</v>
      </c>
      <c r="K17" s="151">
        <f t="shared" si="2"/>
        <v>0</v>
      </c>
      <c r="L17" s="152">
        <f t="shared" si="3"/>
        <v>0</v>
      </c>
      <c r="M17" s="152" t="s">
        <v>371</v>
      </c>
      <c r="N17" s="153"/>
      <c r="O17" s="154">
        <f t="shared" si="4"/>
        <v>0</v>
      </c>
      <c r="P17" s="155" t="s">
        <v>596</v>
      </c>
      <c r="Z17" s="3"/>
      <c r="AA17" s="118"/>
      <c r="AB17" s="116"/>
      <c r="AC17" s="116"/>
      <c r="AD17" s="116"/>
      <c r="AE17" s="116"/>
      <c r="AF17" s="116"/>
      <c r="AG17" s="3"/>
      <c r="AH17" s="3"/>
      <c r="AI17" s="3"/>
      <c r="AJ17" s="3"/>
    </row>
    <row r="18" spans="1:36" ht="52.5" x14ac:dyDescent="0.4">
      <c r="A18" s="590" t="s">
        <v>514</v>
      </c>
      <c r="B18" s="591"/>
      <c r="C18" s="208">
        <v>12</v>
      </c>
      <c r="D18" s="209" t="s">
        <v>590</v>
      </c>
      <c r="E18" s="61" t="s">
        <v>281</v>
      </c>
      <c r="F18" s="61" t="s">
        <v>587</v>
      </c>
      <c r="G18" s="210">
        <v>1500</v>
      </c>
      <c r="H18" s="231">
        <v>0</v>
      </c>
      <c r="I18" s="231">
        <v>1500</v>
      </c>
      <c r="J18" s="231">
        <f t="shared" si="1"/>
        <v>1500</v>
      </c>
      <c r="K18" s="151">
        <f t="shared" si="2"/>
        <v>0</v>
      </c>
      <c r="L18" s="152">
        <f t="shared" si="3"/>
        <v>0</v>
      </c>
      <c r="M18" s="152" t="s">
        <v>371</v>
      </c>
      <c r="N18" s="153"/>
      <c r="O18" s="154">
        <f t="shared" si="4"/>
        <v>0</v>
      </c>
      <c r="P18" s="155" t="s">
        <v>596</v>
      </c>
      <c r="Z18" s="3"/>
      <c r="AA18" s="118"/>
      <c r="AB18" s="116"/>
      <c r="AC18" s="116"/>
      <c r="AD18" s="116"/>
      <c r="AE18" s="116"/>
      <c r="AF18" s="116"/>
      <c r="AG18" s="3"/>
      <c r="AH18" s="3"/>
      <c r="AI18" s="3"/>
      <c r="AJ18" s="3"/>
    </row>
    <row r="19" spans="1:36" ht="52.5" x14ac:dyDescent="0.25">
      <c r="A19" s="590" t="s">
        <v>513</v>
      </c>
      <c r="B19" s="591"/>
      <c r="C19" s="208">
        <v>1</v>
      </c>
      <c r="D19" s="61" t="s">
        <v>591</v>
      </c>
      <c r="E19" s="61" t="s">
        <v>281</v>
      </c>
      <c r="F19" s="61" t="s">
        <v>567</v>
      </c>
      <c r="G19" s="210">
        <v>4000</v>
      </c>
      <c r="H19" s="231">
        <v>0</v>
      </c>
      <c r="I19" s="231">
        <v>0</v>
      </c>
      <c r="J19" s="231">
        <f t="shared" si="1"/>
        <v>0</v>
      </c>
      <c r="K19" s="151">
        <f t="shared" si="2"/>
        <v>-4000</v>
      </c>
      <c r="L19" s="152">
        <f t="shared" si="3"/>
        <v>-100</v>
      </c>
      <c r="M19" s="152" t="s">
        <v>371</v>
      </c>
      <c r="N19" s="153"/>
      <c r="O19" s="154">
        <f t="shared" si="4"/>
        <v>0</v>
      </c>
      <c r="P19" s="155" t="s">
        <v>596</v>
      </c>
      <c r="Z19" s="3"/>
      <c r="AA19" s="3"/>
      <c r="AB19" s="3"/>
      <c r="AC19" s="3"/>
      <c r="AD19" s="3"/>
      <c r="AE19" s="3"/>
      <c r="AF19" s="3"/>
      <c r="AG19" s="3"/>
      <c r="AH19" s="3"/>
      <c r="AI19" s="3"/>
      <c r="AJ19" s="3"/>
    </row>
    <row r="20" spans="1:36" ht="55.5" customHeight="1" x14ac:dyDescent="0.25">
      <c r="A20" s="590" t="s">
        <v>513</v>
      </c>
      <c r="B20" s="591"/>
      <c r="C20" s="208">
        <v>2</v>
      </c>
      <c r="D20" s="61" t="s">
        <v>592</v>
      </c>
      <c r="E20" s="61" t="s">
        <v>281</v>
      </c>
      <c r="F20" s="61" t="s">
        <v>567</v>
      </c>
      <c r="G20" s="210">
        <v>4000</v>
      </c>
      <c r="H20" s="231">
        <v>0</v>
      </c>
      <c r="I20" s="231">
        <v>0</v>
      </c>
      <c r="J20" s="231">
        <f t="shared" si="1"/>
        <v>0</v>
      </c>
      <c r="K20" s="151">
        <f t="shared" si="2"/>
        <v>-4000</v>
      </c>
      <c r="L20" s="152">
        <f t="shared" si="3"/>
        <v>-100</v>
      </c>
      <c r="M20" s="152" t="s">
        <v>371</v>
      </c>
      <c r="N20" s="153"/>
      <c r="O20" s="154">
        <f t="shared" si="4"/>
        <v>0</v>
      </c>
      <c r="P20" s="155" t="s">
        <v>596</v>
      </c>
      <c r="Z20" s="3"/>
      <c r="AA20" s="3"/>
      <c r="AB20" s="3"/>
      <c r="AC20" s="3"/>
      <c r="AD20" s="3"/>
      <c r="AE20" s="3"/>
      <c r="AF20" s="3"/>
      <c r="AG20" s="3"/>
      <c r="AH20" s="3"/>
      <c r="AI20" s="3"/>
      <c r="AJ20" s="3"/>
    </row>
    <row r="21" spans="1:36" ht="78.75" x14ac:dyDescent="0.25">
      <c r="A21" s="590" t="s">
        <v>514</v>
      </c>
      <c r="B21" s="591"/>
      <c r="C21" s="208">
        <v>12</v>
      </c>
      <c r="D21" s="61" t="s">
        <v>593</v>
      </c>
      <c r="E21" s="61" t="s">
        <v>281</v>
      </c>
      <c r="F21" s="61" t="s">
        <v>589</v>
      </c>
      <c r="G21" s="210"/>
      <c r="H21" s="231">
        <v>0</v>
      </c>
      <c r="I21" s="231"/>
      <c r="J21" s="231">
        <f t="shared" si="1"/>
        <v>0</v>
      </c>
      <c r="K21" s="151">
        <f t="shared" si="2"/>
        <v>0</v>
      </c>
      <c r="L21" s="152">
        <f t="shared" si="3"/>
        <v>0</v>
      </c>
      <c r="M21" s="152" t="s">
        <v>371</v>
      </c>
      <c r="N21" s="153"/>
      <c r="O21" s="154">
        <f t="shared" si="4"/>
        <v>0</v>
      </c>
      <c r="P21" s="155" t="s">
        <v>596</v>
      </c>
      <c r="AA21" s="178"/>
    </row>
    <row r="22" spans="1:36" ht="52.5" x14ac:dyDescent="0.25">
      <c r="A22" s="590" t="s">
        <v>512</v>
      </c>
      <c r="B22" s="591"/>
      <c r="C22" s="200">
        <v>1</v>
      </c>
      <c r="D22" s="61" t="s">
        <v>594</v>
      </c>
      <c r="E22" s="61" t="s">
        <v>281</v>
      </c>
      <c r="F22" s="61" t="s">
        <v>524</v>
      </c>
      <c r="G22" s="210">
        <v>155660.41</v>
      </c>
      <c r="H22" s="231">
        <v>61679.72</v>
      </c>
      <c r="I22" s="231">
        <f>151986.63-H22</f>
        <v>90306.91</v>
      </c>
      <c r="J22" s="231">
        <f t="shared" si="1"/>
        <v>151986.63</v>
      </c>
      <c r="K22" s="151">
        <f t="shared" si="2"/>
        <v>-3673.7799999999988</v>
      </c>
      <c r="L22" s="152">
        <f t="shared" si="3"/>
        <v>-2.3601248384223057</v>
      </c>
      <c r="M22" s="152" t="s">
        <v>371</v>
      </c>
      <c r="N22" s="153"/>
      <c r="O22" s="154">
        <f t="shared" si="4"/>
        <v>0</v>
      </c>
      <c r="P22" s="155" t="s">
        <v>596</v>
      </c>
    </row>
    <row r="23" spans="1:36" ht="52.5" x14ac:dyDescent="0.25">
      <c r="A23" s="590" t="s">
        <v>512</v>
      </c>
      <c r="B23" s="591"/>
      <c r="C23" s="200">
        <v>1</v>
      </c>
      <c r="D23" s="61" t="s">
        <v>595</v>
      </c>
      <c r="E23" s="61" t="s">
        <v>281</v>
      </c>
      <c r="F23" s="61" t="s">
        <v>524</v>
      </c>
      <c r="G23" s="210">
        <v>20000</v>
      </c>
      <c r="H23" s="231">
        <f>3900+349.2</f>
        <v>4249.2</v>
      </c>
      <c r="I23" s="231">
        <f>8312.83+0.17</f>
        <v>8313</v>
      </c>
      <c r="J23" s="231">
        <f t="shared" si="1"/>
        <v>12562.2</v>
      </c>
      <c r="K23" s="151">
        <f>J23-G23</f>
        <v>-7437.7999999999993</v>
      </c>
      <c r="L23" s="152">
        <f t="shared" si="3"/>
        <v>-37.188999999999993</v>
      </c>
      <c r="M23" s="152" t="s">
        <v>371</v>
      </c>
      <c r="N23" s="153"/>
      <c r="O23" s="154">
        <f t="shared" si="4"/>
        <v>0</v>
      </c>
      <c r="P23" s="155" t="s">
        <v>596</v>
      </c>
    </row>
    <row r="24" spans="1:36" s="2" customFormat="1" ht="72" customHeight="1" x14ac:dyDescent="0.45">
      <c r="A24" s="592" t="s">
        <v>0</v>
      </c>
      <c r="B24" s="593"/>
      <c r="C24" s="593"/>
      <c r="D24" s="593"/>
      <c r="E24" s="593"/>
      <c r="F24" s="593"/>
      <c r="G24" s="234">
        <f>SUM(G14:G23)</f>
        <v>185160.41</v>
      </c>
      <c r="H24" s="234">
        <f>SUM(H14:H23)</f>
        <v>65928.92</v>
      </c>
      <c r="I24" s="234">
        <f>SUM(I14:I23)</f>
        <v>100119.91</v>
      </c>
      <c r="J24" s="234">
        <f>SUM(J14:J23)</f>
        <v>166048.83000000002</v>
      </c>
      <c r="K24" s="156">
        <f>J24-G24</f>
        <v>-19111.579999999987</v>
      </c>
      <c r="L24" s="156">
        <f t="shared" si="3"/>
        <v>-10.321634090138376</v>
      </c>
      <c r="M24" s="156"/>
      <c r="N24" s="157">
        <f>SUM(N14:N23)</f>
        <v>0</v>
      </c>
      <c r="O24" s="156">
        <f t="shared" si="4"/>
        <v>0</v>
      </c>
      <c r="P24" s="158"/>
    </row>
    <row r="25" spans="1:36" ht="19.5" x14ac:dyDescent="0.3">
      <c r="A25" s="1"/>
      <c r="B25" s="1"/>
      <c r="C25" s="1"/>
      <c r="D25" s="1"/>
      <c r="E25" s="1"/>
      <c r="F25" s="1"/>
      <c r="G25" s="235">
        <f>'Quadro Geral'!J14</f>
        <v>185160.41</v>
      </c>
      <c r="H25" s="235">
        <f>'Quadro Geral'!K14</f>
        <v>65928.92</v>
      </c>
      <c r="I25" s="316">
        <f>'Quadro Geral'!L14</f>
        <v>100119.91</v>
      </c>
      <c r="J25" s="316">
        <f>'Quadro Geral'!M14</f>
        <v>166048.83000000002</v>
      </c>
      <c r="K25" s="1"/>
      <c r="L25" s="1"/>
      <c r="M25" s="1"/>
      <c r="N25" s="1"/>
      <c r="O25" s="1"/>
      <c r="P25" s="1"/>
    </row>
    <row r="26" spans="1:36" x14ac:dyDescent="0.4">
      <c r="A26" s="306" t="s">
        <v>296</v>
      </c>
      <c r="B26" s="306"/>
      <c r="C26" s="306"/>
      <c r="D26" s="306"/>
      <c r="E26" s="306"/>
      <c r="F26" s="306"/>
      <c r="G26" s="306" t="b">
        <f>G24=G25</f>
        <v>1</v>
      </c>
      <c r="H26" s="306" t="b">
        <f t="shared" ref="H26:J26" si="5">H24=H25</f>
        <v>1</v>
      </c>
      <c r="I26" s="306" t="b">
        <f t="shared" si="5"/>
        <v>1</v>
      </c>
      <c r="J26" s="306" t="b">
        <f t="shared" si="5"/>
        <v>1</v>
      </c>
      <c r="K26" s="306"/>
      <c r="L26" s="306"/>
      <c r="M26" s="306"/>
      <c r="N26" s="306"/>
      <c r="O26" s="306"/>
      <c r="P26" s="306"/>
    </row>
    <row r="27" spans="1:36" ht="36" customHeight="1" x14ac:dyDescent="0.25">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t="15" hidden="1" x14ac:dyDescent="0.25">
      <c r="A36" s="598" t="s">
        <v>387</v>
      </c>
      <c r="B36" s="599"/>
      <c r="C36" s="599"/>
      <c r="D36" s="599"/>
      <c r="E36" s="599"/>
      <c r="F36" s="599"/>
      <c r="G36" s="599"/>
      <c r="H36" s="599"/>
      <c r="I36" s="599"/>
      <c r="J36" s="599"/>
      <c r="K36" s="599"/>
      <c r="L36" s="599"/>
      <c r="M36" s="599"/>
      <c r="N36" s="599"/>
      <c r="O36" s="599"/>
      <c r="P36" s="600"/>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1.5"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374.25" customHeight="1" thickBot="1" x14ac:dyDescent="0.3">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1">
    <mergeCell ref="A6:P6"/>
    <mergeCell ref="A7:P7"/>
    <mergeCell ref="A8:F8"/>
    <mergeCell ref="G8:P8"/>
    <mergeCell ref="A9:F9"/>
    <mergeCell ref="G9:P9"/>
    <mergeCell ref="A24:F24"/>
    <mergeCell ref="P11:P13"/>
    <mergeCell ref="C12:E12"/>
    <mergeCell ref="F12:F13"/>
    <mergeCell ref="G12:G13"/>
    <mergeCell ref="H12:J12"/>
    <mergeCell ref="K12:K13"/>
    <mergeCell ref="L12:L13"/>
    <mergeCell ref="N12:N13"/>
    <mergeCell ref="O12:O13"/>
    <mergeCell ref="N11:O11"/>
    <mergeCell ref="A11:B13"/>
    <mergeCell ref="C11:F11"/>
    <mergeCell ref="G11:J11"/>
    <mergeCell ref="K11:L11"/>
    <mergeCell ref="M11:M13"/>
    <mergeCell ref="A19:B19"/>
    <mergeCell ref="A20:B20"/>
    <mergeCell ref="A21:B21"/>
    <mergeCell ref="A22:B22"/>
    <mergeCell ref="A23:B23"/>
    <mergeCell ref="Q14:W14"/>
    <mergeCell ref="A15:B15"/>
    <mergeCell ref="A16:B16"/>
    <mergeCell ref="A17:B17"/>
    <mergeCell ref="A18:B18"/>
    <mergeCell ref="C33:F33"/>
    <mergeCell ref="A35:P35"/>
    <mergeCell ref="A36:P84"/>
    <mergeCell ref="A27:P27"/>
    <mergeCell ref="A28:P28"/>
    <mergeCell ref="A29:F29"/>
    <mergeCell ref="C30:F30"/>
    <mergeCell ref="C31:F31"/>
    <mergeCell ref="C32:F32"/>
  </mergeCells>
  <dataValidations count="2">
    <dataValidation type="list" allowBlank="1" showInputMessage="1" showErrorMessage="1" sqref="M15:M23">
      <formula1>$BA$13:$BA$16</formula1>
    </dataValidation>
    <dataValidation type="list" allowBlank="1" showInputMessage="1" showErrorMessage="1" sqref="BA13:BA15">
      <formula1>$BA$13:$BA$15</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[3]Resumo!#REF!</xm:f>
          </x14:formula1>
          <xm:sqref>E15:E23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5:BA84"/>
  <sheetViews>
    <sheetView showGridLines="0" topLeftCell="A9" zoomScale="40" zoomScaleNormal="40" zoomScaleSheetLayoutView="80" workbookViewId="0">
      <selection activeCell="A19" sqref="A19:B19"/>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9.140625" style="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428</v>
      </c>
      <c r="H8" s="570"/>
      <c r="I8" s="570"/>
      <c r="J8" s="570"/>
      <c r="K8" s="570"/>
      <c r="L8" s="570"/>
      <c r="M8" s="570"/>
      <c r="N8" s="570"/>
      <c r="O8" s="570"/>
      <c r="P8" s="571"/>
      <c r="Q8" s="1" t="b">
        <f>G8='Quadro Geral'!E15</f>
        <v>1</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526</v>
      </c>
      <c r="H9" s="570"/>
      <c r="I9" s="570"/>
      <c r="J9" s="570"/>
      <c r="K9" s="570"/>
      <c r="L9" s="570"/>
      <c r="M9" s="570"/>
      <c r="N9" s="570"/>
      <c r="O9" s="570"/>
      <c r="P9" s="571"/>
      <c r="Q9" s="30" t="s">
        <v>702</v>
      </c>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t="str">
        <f>'Quadro Geral'!G12</f>
        <v>Promover o exercício ético e qualificado da profissão</v>
      </c>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198" t="s">
        <v>289</v>
      </c>
      <c r="D13" s="199" t="s">
        <v>288</v>
      </c>
      <c r="E13" s="130" t="s">
        <v>217</v>
      </c>
      <c r="F13" s="582"/>
      <c r="G13" s="582"/>
      <c r="H13" s="198" t="s">
        <v>373</v>
      </c>
      <c r="I13" s="198" t="s">
        <v>374</v>
      </c>
      <c r="J13" s="198"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105" x14ac:dyDescent="0.5">
      <c r="A15" s="590" t="s">
        <v>512</v>
      </c>
      <c r="B15" s="591"/>
      <c r="C15" s="200">
        <v>12</v>
      </c>
      <c r="D15" s="61" t="s">
        <v>597</v>
      </c>
      <c r="E15" s="61" t="s">
        <v>254</v>
      </c>
      <c r="F15" s="61" t="s">
        <v>598</v>
      </c>
      <c r="G15" s="210">
        <v>35000</v>
      </c>
      <c r="H15" s="231">
        <f>439.97+1285.36</f>
        <v>1725.33</v>
      </c>
      <c r="I15" s="231">
        <f>6228.51+3714.64+(331.52)</f>
        <v>10274.67</v>
      </c>
      <c r="J15" s="231">
        <f>H15+I15</f>
        <v>12000</v>
      </c>
      <c r="K15" s="151">
        <f>J15-G15</f>
        <v>-23000</v>
      </c>
      <c r="L15" s="152">
        <f>IFERROR(K15/G15*100,0)</f>
        <v>-65.714285714285708</v>
      </c>
      <c r="M15" s="152" t="s">
        <v>371</v>
      </c>
      <c r="N15" s="153"/>
      <c r="O15" s="154">
        <f>IFERROR(N15/J15*100,)</f>
        <v>0</v>
      </c>
      <c r="P15" s="155" t="s">
        <v>605</v>
      </c>
      <c r="Z15" s="3"/>
      <c r="AA15" s="118"/>
      <c r="AB15" s="116"/>
      <c r="AC15" s="116"/>
      <c r="AD15" s="116"/>
      <c r="AE15" s="116"/>
      <c r="AF15" s="116"/>
      <c r="AG15" s="3"/>
      <c r="AH15" s="3"/>
      <c r="AI15" s="3"/>
      <c r="AJ15" s="3"/>
      <c r="AZ15" s="188"/>
      <c r="BA15" s="188" t="s">
        <v>213</v>
      </c>
    </row>
    <row r="16" spans="1:53" ht="105" x14ac:dyDescent="0.5">
      <c r="A16" s="590" t="s">
        <v>513</v>
      </c>
      <c r="B16" s="591"/>
      <c r="C16" s="200">
        <v>12</v>
      </c>
      <c r="D16" s="61" t="s">
        <v>599</v>
      </c>
      <c r="E16" s="61" t="s">
        <v>254</v>
      </c>
      <c r="F16" s="61" t="s">
        <v>598</v>
      </c>
      <c r="G16" s="210">
        <v>23000</v>
      </c>
      <c r="H16" s="231">
        <v>0</v>
      </c>
      <c r="I16" s="231"/>
      <c r="J16" s="231">
        <f t="shared" ref="J16:J23" si="1">H16+I16</f>
        <v>0</v>
      </c>
      <c r="K16" s="151">
        <f t="shared" ref="K16:K22" si="2">J16-G16</f>
        <v>-23000</v>
      </c>
      <c r="L16" s="152">
        <f t="shared" ref="L16:L24" si="3">IFERROR(K16/G16*100,0)</f>
        <v>-100</v>
      </c>
      <c r="M16" s="152" t="s">
        <v>371</v>
      </c>
      <c r="N16" s="153"/>
      <c r="O16" s="154">
        <f t="shared" ref="O16:O24" si="4">IFERROR(N16/J16*100,)</f>
        <v>0</v>
      </c>
      <c r="P16" s="155" t="s">
        <v>605</v>
      </c>
      <c r="Z16" s="3"/>
      <c r="AA16" s="118"/>
      <c r="AB16" s="116"/>
      <c r="AC16" s="116"/>
      <c r="AD16" s="116"/>
      <c r="AE16" s="116"/>
      <c r="AF16" s="116"/>
      <c r="AG16" s="3"/>
      <c r="AH16" s="3"/>
      <c r="AI16" s="3"/>
      <c r="AJ16" s="3"/>
      <c r="AZ16" s="188"/>
      <c r="BA16" s="188" t="s">
        <v>371</v>
      </c>
    </row>
    <row r="17" spans="1:36" ht="105" x14ac:dyDescent="0.4">
      <c r="A17" s="590" t="s">
        <v>513</v>
      </c>
      <c r="B17" s="591"/>
      <c r="C17" s="200">
        <v>12</v>
      </c>
      <c r="D17" s="61" t="s">
        <v>600</v>
      </c>
      <c r="E17" s="61" t="s">
        <v>256</v>
      </c>
      <c r="F17" s="61" t="s">
        <v>601</v>
      </c>
      <c r="G17" s="210">
        <v>10000</v>
      </c>
      <c r="H17" s="231">
        <v>0</v>
      </c>
      <c r="I17" s="231"/>
      <c r="J17" s="231">
        <f t="shared" si="1"/>
        <v>0</v>
      </c>
      <c r="K17" s="151">
        <f t="shared" si="2"/>
        <v>-10000</v>
      </c>
      <c r="L17" s="152">
        <f t="shared" si="3"/>
        <v>-100</v>
      </c>
      <c r="M17" s="152" t="s">
        <v>371</v>
      </c>
      <c r="N17" s="153"/>
      <c r="O17" s="154">
        <f t="shared" si="4"/>
        <v>0</v>
      </c>
      <c r="P17" s="155" t="s">
        <v>605</v>
      </c>
      <c r="Z17" s="3"/>
      <c r="AA17" s="118"/>
      <c r="AB17" s="116"/>
      <c r="AC17" s="116"/>
      <c r="AD17" s="116"/>
      <c r="AE17" s="116"/>
      <c r="AF17" s="116"/>
      <c r="AG17" s="3"/>
      <c r="AH17" s="3"/>
      <c r="AI17" s="3"/>
      <c r="AJ17" s="3"/>
    </row>
    <row r="18" spans="1:36" ht="105" x14ac:dyDescent="0.4">
      <c r="A18" s="590" t="s">
        <v>513</v>
      </c>
      <c r="B18" s="591"/>
      <c r="C18" s="200">
        <v>2</v>
      </c>
      <c r="D18" s="61" t="s">
        <v>602</v>
      </c>
      <c r="E18" s="61" t="s">
        <v>256</v>
      </c>
      <c r="F18" s="61" t="s">
        <v>603</v>
      </c>
      <c r="G18" s="210">
        <v>10000</v>
      </c>
      <c r="H18" s="231">
        <v>0</v>
      </c>
      <c r="I18" s="231"/>
      <c r="J18" s="231">
        <f t="shared" si="1"/>
        <v>0</v>
      </c>
      <c r="K18" s="151">
        <f t="shared" si="2"/>
        <v>-10000</v>
      </c>
      <c r="L18" s="152">
        <f t="shared" si="3"/>
        <v>-100</v>
      </c>
      <c r="M18" s="152" t="s">
        <v>371</v>
      </c>
      <c r="N18" s="153"/>
      <c r="O18" s="154">
        <f t="shared" si="4"/>
        <v>0</v>
      </c>
      <c r="P18" s="155" t="s">
        <v>605</v>
      </c>
      <c r="Z18" s="3"/>
      <c r="AA18" s="118"/>
      <c r="AB18" s="116"/>
      <c r="AC18" s="116"/>
      <c r="AD18" s="116"/>
      <c r="AE18" s="116"/>
      <c r="AF18" s="116"/>
      <c r="AG18" s="3"/>
      <c r="AH18" s="3"/>
      <c r="AI18" s="3"/>
      <c r="AJ18" s="3"/>
    </row>
    <row r="19" spans="1:36" ht="78.75" x14ac:dyDescent="0.25">
      <c r="A19" s="590" t="s">
        <v>512</v>
      </c>
      <c r="B19" s="591"/>
      <c r="C19" s="200">
        <v>1</v>
      </c>
      <c r="D19" s="61" t="s">
        <v>604</v>
      </c>
      <c r="E19" s="61" t="s">
        <v>254</v>
      </c>
      <c r="F19" s="61" t="s">
        <v>524</v>
      </c>
      <c r="G19" s="210">
        <v>68942.13</v>
      </c>
      <c r="H19" s="231">
        <v>29806.22</v>
      </c>
      <c r="I19" s="231">
        <f>67372.9-H19</f>
        <v>37566.679999999993</v>
      </c>
      <c r="J19" s="231">
        <f t="shared" si="1"/>
        <v>67372.899999999994</v>
      </c>
      <c r="K19" s="151">
        <f t="shared" si="2"/>
        <v>-1569.2300000000105</v>
      </c>
      <c r="L19" s="152">
        <f t="shared" si="3"/>
        <v>-2.2761553784311719</v>
      </c>
      <c r="M19" s="152" t="s">
        <v>371</v>
      </c>
      <c r="N19" s="153"/>
      <c r="O19" s="154">
        <f t="shared" si="4"/>
        <v>0</v>
      </c>
      <c r="P19" s="155" t="s">
        <v>605</v>
      </c>
      <c r="Z19" s="3"/>
      <c r="AA19" s="3"/>
      <c r="AB19" s="3"/>
      <c r="AC19" s="3"/>
      <c r="AD19" s="3"/>
      <c r="AE19" s="3"/>
      <c r="AF19" s="3"/>
      <c r="AG19" s="3"/>
      <c r="AH19" s="3"/>
      <c r="AI19" s="3"/>
      <c r="AJ19" s="3"/>
    </row>
    <row r="20" spans="1:36" ht="55.5" hidden="1" customHeight="1" x14ac:dyDescent="0.25">
      <c r="A20" s="590"/>
      <c r="B20" s="591"/>
      <c r="C20" s="61"/>
      <c r="D20" s="61"/>
      <c r="E20" s="61"/>
      <c r="F20" s="61"/>
      <c r="G20" s="231"/>
      <c r="H20" s="231"/>
      <c r="I20" s="231"/>
      <c r="J20" s="231">
        <f t="shared" si="1"/>
        <v>0</v>
      </c>
      <c r="K20" s="151">
        <f t="shared" si="2"/>
        <v>0</v>
      </c>
      <c r="L20" s="152">
        <f t="shared" si="3"/>
        <v>0</v>
      </c>
      <c r="M20" s="152"/>
      <c r="N20" s="153"/>
      <c r="O20" s="154">
        <f t="shared" si="4"/>
        <v>0</v>
      </c>
      <c r="P20" s="155"/>
      <c r="Z20" s="3"/>
      <c r="AA20" s="3"/>
      <c r="AB20" s="3"/>
      <c r="AC20" s="3"/>
      <c r="AD20" s="3"/>
      <c r="AE20" s="3"/>
      <c r="AF20" s="3"/>
      <c r="AG20" s="3"/>
      <c r="AH20" s="3"/>
      <c r="AI20" s="3"/>
      <c r="AJ20" s="3"/>
    </row>
    <row r="21" spans="1:36" ht="55.5" hidden="1" customHeight="1" x14ac:dyDescent="0.25">
      <c r="A21" s="590"/>
      <c r="B21" s="591"/>
      <c r="C21" s="61"/>
      <c r="D21" s="61"/>
      <c r="E21" s="61"/>
      <c r="F21" s="61"/>
      <c r="G21" s="231"/>
      <c r="H21" s="231"/>
      <c r="I21" s="231"/>
      <c r="J21" s="231">
        <f t="shared" si="1"/>
        <v>0</v>
      </c>
      <c r="K21" s="151">
        <f t="shared" si="2"/>
        <v>0</v>
      </c>
      <c r="L21" s="152">
        <f t="shared" si="3"/>
        <v>0</v>
      </c>
      <c r="M21" s="152"/>
      <c r="N21" s="153"/>
      <c r="O21" s="154">
        <f t="shared" si="4"/>
        <v>0</v>
      </c>
      <c r="P21" s="155"/>
      <c r="AA21" s="178"/>
    </row>
    <row r="22" spans="1:36" ht="55.5" hidden="1" customHeight="1" x14ac:dyDescent="0.25">
      <c r="A22" s="590"/>
      <c r="B22" s="591"/>
      <c r="C22" s="61"/>
      <c r="D22" s="61"/>
      <c r="E22" s="61"/>
      <c r="F22" s="61"/>
      <c r="G22" s="231"/>
      <c r="H22" s="231"/>
      <c r="I22" s="231"/>
      <c r="J22" s="231">
        <f t="shared" si="1"/>
        <v>0</v>
      </c>
      <c r="K22" s="151">
        <f t="shared" si="2"/>
        <v>0</v>
      </c>
      <c r="L22" s="152">
        <f t="shared" si="3"/>
        <v>0</v>
      </c>
      <c r="M22" s="152"/>
      <c r="N22" s="153"/>
      <c r="O22" s="154">
        <f t="shared" si="4"/>
        <v>0</v>
      </c>
      <c r="P22" s="155"/>
    </row>
    <row r="23" spans="1:36" ht="55.5" hidden="1" customHeight="1" x14ac:dyDescent="0.25">
      <c r="A23" s="590"/>
      <c r="B23" s="591"/>
      <c r="C23" s="61"/>
      <c r="D23" s="61"/>
      <c r="E23" s="61"/>
      <c r="F23" s="61"/>
      <c r="G23" s="231"/>
      <c r="H23" s="231"/>
      <c r="I23" s="231"/>
      <c r="J23" s="231">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234">
        <f>SUM(G14:G23)</f>
        <v>146942.13</v>
      </c>
      <c r="H24" s="234">
        <f>SUM(H14:H23)</f>
        <v>31531.550000000003</v>
      </c>
      <c r="I24" s="234">
        <f>SUM(I14:I23)</f>
        <v>47841.349999999991</v>
      </c>
      <c r="J24" s="234">
        <f>SUM(J14:J23)</f>
        <v>79372.899999999994</v>
      </c>
      <c r="K24" s="156">
        <f>J24-G24</f>
        <v>-67569.23000000001</v>
      </c>
      <c r="L24" s="156">
        <f t="shared" si="3"/>
        <v>-45.983565094639644</v>
      </c>
      <c r="M24" s="156"/>
      <c r="N24" s="157">
        <f>SUM(N14:N23)</f>
        <v>0</v>
      </c>
      <c r="O24" s="156">
        <f t="shared" si="4"/>
        <v>0</v>
      </c>
      <c r="P24" s="158"/>
    </row>
    <row r="25" spans="1:36" ht="59.25" customHeight="1" x14ac:dyDescent="0.3">
      <c r="A25" s="1"/>
      <c r="B25" s="1"/>
      <c r="C25" s="1"/>
      <c r="D25" s="1"/>
      <c r="E25" s="1"/>
      <c r="F25" s="1"/>
      <c r="G25" s="235">
        <f>'Quadro Geral'!J15</f>
        <v>146942.13</v>
      </c>
      <c r="H25" s="235">
        <f>'Quadro Geral'!K15</f>
        <v>31531.55</v>
      </c>
      <c r="I25" s="235">
        <f>'Quadro Geral'!L15</f>
        <v>47841.349999999991</v>
      </c>
      <c r="J25" s="235">
        <f>'Quadro Geral'!M15</f>
        <v>79372.899999999994</v>
      </c>
      <c r="K25" s="1"/>
      <c r="L25" s="1"/>
      <c r="M25" s="1"/>
      <c r="N25" s="1"/>
      <c r="O25" s="1"/>
      <c r="P25" s="1"/>
    </row>
    <row r="26" spans="1:36" x14ac:dyDescent="0.4">
      <c r="A26" s="306" t="s">
        <v>296</v>
      </c>
      <c r="B26" s="306"/>
      <c r="C26" s="306"/>
      <c r="D26" s="306"/>
      <c r="E26" s="306"/>
      <c r="F26" s="306"/>
      <c r="G26" s="306" t="b">
        <f>G24=G25</f>
        <v>1</v>
      </c>
      <c r="H26" s="306" t="b">
        <f t="shared" ref="H26:J26" si="5">H24=H25</f>
        <v>1</v>
      </c>
      <c r="I26" s="306" t="b">
        <f t="shared" si="5"/>
        <v>1</v>
      </c>
      <c r="J26" s="306" t="b">
        <f t="shared" si="5"/>
        <v>1</v>
      </c>
      <c r="K26" s="306"/>
      <c r="L26" s="306"/>
      <c r="M26" s="306"/>
      <c r="N26" s="306"/>
      <c r="O26" s="306"/>
      <c r="P26" s="306"/>
    </row>
    <row r="27" spans="1:36" ht="36" customHeight="1" x14ac:dyDescent="0.25">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t="15" hidden="1" x14ac:dyDescent="0.25">
      <c r="A36" s="598" t="s">
        <v>387</v>
      </c>
      <c r="B36" s="599"/>
      <c r="C36" s="599"/>
      <c r="D36" s="599"/>
      <c r="E36" s="599"/>
      <c r="F36" s="599"/>
      <c r="G36" s="599"/>
      <c r="H36" s="599"/>
      <c r="I36" s="599"/>
      <c r="J36" s="599"/>
      <c r="K36" s="599"/>
      <c r="L36" s="599"/>
      <c r="M36" s="599"/>
      <c r="N36" s="599"/>
      <c r="O36" s="599"/>
      <c r="P36" s="600"/>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1.5"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374.25" customHeight="1" thickBot="1" x14ac:dyDescent="0.3">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1">
    <mergeCell ref="A6:P6"/>
    <mergeCell ref="A7:P7"/>
    <mergeCell ref="A8:F8"/>
    <mergeCell ref="G8:P8"/>
    <mergeCell ref="A9:F9"/>
    <mergeCell ref="G9:P9"/>
    <mergeCell ref="A24:F24"/>
    <mergeCell ref="P11:P13"/>
    <mergeCell ref="C12:E12"/>
    <mergeCell ref="F12:F13"/>
    <mergeCell ref="G12:G13"/>
    <mergeCell ref="H12:J12"/>
    <mergeCell ref="K12:K13"/>
    <mergeCell ref="L12:L13"/>
    <mergeCell ref="N12:N13"/>
    <mergeCell ref="O12:O13"/>
    <mergeCell ref="N11:O11"/>
    <mergeCell ref="A11:B13"/>
    <mergeCell ref="C11:F11"/>
    <mergeCell ref="G11:J11"/>
    <mergeCell ref="K11:L11"/>
    <mergeCell ref="M11:M13"/>
    <mergeCell ref="A19:B19"/>
    <mergeCell ref="A20:B20"/>
    <mergeCell ref="A21:B21"/>
    <mergeCell ref="A22:B22"/>
    <mergeCell ref="A23:B23"/>
    <mergeCell ref="Q14:W14"/>
    <mergeCell ref="A15:B15"/>
    <mergeCell ref="A16:B16"/>
    <mergeCell ref="A17:B17"/>
    <mergeCell ref="A18:B18"/>
    <mergeCell ref="C33:F33"/>
    <mergeCell ref="A35:P35"/>
    <mergeCell ref="A36:P84"/>
    <mergeCell ref="A27:P27"/>
    <mergeCell ref="A28:P28"/>
    <mergeCell ref="A29:F29"/>
    <mergeCell ref="C30:F30"/>
    <mergeCell ref="C31:F31"/>
    <mergeCell ref="C32:F32"/>
  </mergeCells>
  <dataValidations count="2">
    <dataValidation type="list" allowBlank="1" showInputMessage="1" showErrorMessage="1" sqref="M15:M23">
      <formula1>$BA$13:$BA$16</formula1>
    </dataValidation>
    <dataValidation type="list" allowBlank="1" showInputMessage="1" showErrorMessage="1" sqref="BA13:BA15">
      <formula1>$BA$13:$BA$15</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'AÇÕES ESTRATÉGICAS - DESCRIÇÃO '!$C$2:$C$22</xm:f>
          </x14:formula1>
          <xm:sqref>E20:E23</xm:sqref>
        </x14:dataValidation>
        <x14:dataValidation type="list" allowBlank="1" showInputMessage="1" showErrorMessage="1">
          <x14:formula1>
            <xm:f>'[3]Ações Estratégicas - Descrição'!#REF!</xm:f>
          </x14:formula1>
          <xm:sqref>E15:E19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5:BA84"/>
  <sheetViews>
    <sheetView showGridLines="0" topLeftCell="A6" zoomScale="40" zoomScaleNormal="40" zoomScaleSheetLayoutView="80" workbookViewId="0">
      <selection activeCell="G10" sqref="G10"/>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9.140625" style="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430</v>
      </c>
      <c r="H8" s="570"/>
      <c r="I8" s="570"/>
      <c r="J8" s="570"/>
      <c r="K8" s="570"/>
      <c r="L8" s="570"/>
      <c r="M8" s="570"/>
      <c r="N8" s="570"/>
      <c r="O8" s="570"/>
      <c r="P8" s="571"/>
      <c r="Q8" s="1" t="b">
        <f>G8='Quadro Geral'!E16</f>
        <v>1</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526</v>
      </c>
      <c r="H9" s="570"/>
      <c r="I9" s="570"/>
      <c r="J9" s="570"/>
      <c r="K9" s="570"/>
      <c r="L9" s="570"/>
      <c r="M9" s="570"/>
      <c r="N9" s="570"/>
      <c r="O9" s="570"/>
      <c r="P9" s="571"/>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198" t="s">
        <v>289</v>
      </c>
      <c r="D13" s="199" t="s">
        <v>288</v>
      </c>
      <c r="E13" s="130" t="s">
        <v>217</v>
      </c>
      <c r="F13" s="582"/>
      <c r="G13" s="582"/>
      <c r="H13" s="198" t="s">
        <v>373</v>
      </c>
      <c r="I13" s="198" t="s">
        <v>374</v>
      </c>
      <c r="J13" s="198"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131.25" x14ac:dyDescent="0.5">
      <c r="A15" s="590" t="s">
        <v>512</v>
      </c>
      <c r="B15" s="591"/>
      <c r="C15" s="200">
        <v>12</v>
      </c>
      <c r="D15" s="61" t="s">
        <v>606</v>
      </c>
      <c r="E15" s="61" t="s">
        <v>281</v>
      </c>
      <c r="F15" s="61" t="s">
        <v>607</v>
      </c>
      <c r="G15" s="210">
        <v>7000</v>
      </c>
      <c r="H15" s="231">
        <f>218.88+994.17</f>
        <v>1213.05</v>
      </c>
      <c r="I15" s="231">
        <v>0</v>
      </c>
      <c r="J15" s="231">
        <f>H15+I15</f>
        <v>1213.05</v>
      </c>
      <c r="K15" s="151">
        <f>J15-G15</f>
        <v>-5786.95</v>
      </c>
      <c r="L15" s="152">
        <f>IFERROR(K15/G15*100,0)</f>
        <v>-82.670714285714283</v>
      </c>
      <c r="M15" s="152" t="s">
        <v>371</v>
      </c>
      <c r="N15" s="153"/>
      <c r="O15" s="154">
        <f>IFERROR(N15/J15*100,)</f>
        <v>0</v>
      </c>
      <c r="P15" s="155" t="s">
        <v>610</v>
      </c>
      <c r="Z15" s="3"/>
      <c r="AA15" s="118"/>
      <c r="AB15" s="116"/>
      <c r="AC15" s="116"/>
      <c r="AD15" s="116"/>
      <c r="AE15" s="116"/>
      <c r="AF15" s="116"/>
      <c r="AG15" s="3"/>
      <c r="AH15" s="3"/>
      <c r="AI15" s="3"/>
      <c r="AJ15" s="3"/>
      <c r="AZ15" s="188"/>
      <c r="BA15" s="188" t="s">
        <v>213</v>
      </c>
    </row>
    <row r="16" spans="1:53" ht="78.75" x14ac:dyDescent="0.5">
      <c r="A16" s="590" t="s">
        <v>514</v>
      </c>
      <c r="B16" s="591"/>
      <c r="C16" s="200">
        <v>3</v>
      </c>
      <c r="D16" s="61" t="s">
        <v>608</v>
      </c>
      <c r="E16" s="61" t="s">
        <v>281</v>
      </c>
      <c r="F16" s="61" t="s">
        <v>609</v>
      </c>
      <c r="G16" s="210"/>
      <c r="H16" s="231"/>
      <c r="I16" s="231"/>
      <c r="J16" s="231">
        <f t="shared" ref="J16:J23" si="1">H16+I16</f>
        <v>0</v>
      </c>
      <c r="K16" s="151">
        <f t="shared" ref="K16:K22" si="2">J16-G16</f>
        <v>0</v>
      </c>
      <c r="L16" s="152">
        <f t="shared" ref="L16:L24" si="3">IFERROR(K16/G16*100,0)</f>
        <v>0</v>
      </c>
      <c r="M16" s="152" t="s">
        <v>371</v>
      </c>
      <c r="N16" s="153"/>
      <c r="O16" s="154">
        <f t="shared" ref="O16:O24" si="4">IFERROR(N16/J16*100,)</f>
        <v>0</v>
      </c>
      <c r="P16" s="155" t="s">
        <v>610</v>
      </c>
      <c r="Z16" s="3"/>
      <c r="AA16" s="118"/>
      <c r="AB16" s="116"/>
      <c r="AC16" s="116"/>
      <c r="AD16" s="116"/>
      <c r="AE16" s="116"/>
      <c r="AF16" s="116"/>
      <c r="AG16" s="3"/>
      <c r="AH16" s="3"/>
      <c r="AI16" s="3"/>
      <c r="AJ16" s="3"/>
      <c r="AZ16" s="188"/>
      <c r="BA16" s="188" t="s">
        <v>371</v>
      </c>
    </row>
    <row r="17" spans="1:36" ht="104.25" customHeight="1" x14ac:dyDescent="0.4">
      <c r="A17" s="590" t="s">
        <v>512</v>
      </c>
      <c r="B17" s="591"/>
      <c r="C17" s="200">
        <v>2</v>
      </c>
      <c r="D17" s="61" t="s">
        <v>602</v>
      </c>
      <c r="E17" s="61" t="s">
        <v>281</v>
      </c>
      <c r="F17" s="61" t="s">
        <v>524</v>
      </c>
      <c r="G17" s="210">
        <v>4387</v>
      </c>
      <c r="H17" s="231">
        <v>0</v>
      </c>
      <c r="I17" s="231">
        <v>0</v>
      </c>
      <c r="J17" s="231">
        <f t="shared" si="1"/>
        <v>0</v>
      </c>
      <c r="K17" s="151">
        <f t="shared" si="2"/>
        <v>-4387</v>
      </c>
      <c r="L17" s="152">
        <f t="shared" si="3"/>
        <v>-100</v>
      </c>
      <c r="M17" s="152" t="s">
        <v>371</v>
      </c>
      <c r="N17" s="153"/>
      <c r="O17" s="154">
        <f t="shared" si="4"/>
        <v>0</v>
      </c>
      <c r="P17" s="155" t="s">
        <v>610</v>
      </c>
      <c r="Z17" s="3"/>
      <c r="AA17" s="118"/>
      <c r="AB17" s="116"/>
      <c r="AC17" s="116"/>
      <c r="AD17" s="116"/>
      <c r="AE17" s="116"/>
      <c r="AF17" s="116"/>
      <c r="AG17" s="3"/>
      <c r="AH17" s="3"/>
      <c r="AI17" s="3"/>
      <c r="AJ17" s="3"/>
    </row>
    <row r="18" spans="1:36" ht="28.5" hidden="1" x14ac:dyDescent="0.4">
      <c r="A18" s="590"/>
      <c r="B18" s="591"/>
      <c r="C18" s="200"/>
      <c r="D18" s="61"/>
      <c r="E18" s="61"/>
      <c r="F18" s="61"/>
      <c r="G18" s="232"/>
      <c r="H18" s="231"/>
      <c r="I18" s="231"/>
      <c r="J18" s="231">
        <f t="shared" si="1"/>
        <v>0</v>
      </c>
      <c r="K18" s="151">
        <f t="shared" si="2"/>
        <v>0</v>
      </c>
      <c r="L18" s="152">
        <f t="shared" si="3"/>
        <v>0</v>
      </c>
      <c r="M18" s="152"/>
      <c r="N18" s="153"/>
      <c r="O18" s="154">
        <f t="shared" si="4"/>
        <v>0</v>
      </c>
      <c r="P18" s="155"/>
      <c r="Z18" s="3"/>
      <c r="AA18" s="118"/>
      <c r="AB18" s="116"/>
      <c r="AC18" s="116"/>
      <c r="AD18" s="116"/>
      <c r="AE18" s="116"/>
      <c r="AF18" s="116"/>
      <c r="AG18" s="3"/>
      <c r="AH18" s="3"/>
      <c r="AI18" s="3"/>
      <c r="AJ18" s="3"/>
    </row>
    <row r="19" spans="1:36" ht="28.5" hidden="1" x14ac:dyDescent="0.25">
      <c r="A19" s="590"/>
      <c r="B19" s="591"/>
      <c r="C19" s="200"/>
      <c r="D19" s="61"/>
      <c r="E19" s="61"/>
      <c r="F19" s="61"/>
      <c r="G19" s="233"/>
      <c r="H19" s="231"/>
      <c r="I19" s="231"/>
      <c r="J19" s="231">
        <f t="shared" si="1"/>
        <v>0</v>
      </c>
      <c r="K19" s="151">
        <f t="shared" si="2"/>
        <v>0</v>
      </c>
      <c r="L19" s="152">
        <f t="shared" si="3"/>
        <v>0</v>
      </c>
      <c r="M19" s="152"/>
      <c r="N19" s="153"/>
      <c r="O19" s="154">
        <f t="shared" si="4"/>
        <v>0</v>
      </c>
      <c r="P19" s="155"/>
      <c r="Z19" s="3"/>
      <c r="AA19" s="3"/>
      <c r="AB19" s="3"/>
      <c r="AC19" s="3"/>
      <c r="AD19" s="3"/>
      <c r="AE19" s="3"/>
      <c r="AF19" s="3"/>
      <c r="AG19" s="3"/>
      <c r="AH19" s="3"/>
      <c r="AI19" s="3"/>
      <c r="AJ19" s="3"/>
    </row>
    <row r="20" spans="1:36" ht="55.5" hidden="1" customHeight="1" x14ac:dyDescent="0.25">
      <c r="A20" s="590"/>
      <c r="B20" s="591"/>
      <c r="C20" s="61"/>
      <c r="D20" s="61"/>
      <c r="E20" s="61"/>
      <c r="F20" s="61"/>
      <c r="G20" s="231"/>
      <c r="H20" s="231"/>
      <c r="I20" s="231"/>
      <c r="J20" s="231">
        <f t="shared" si="1"/>
        <v>0</v>
      </c>
      <c r="K20" s="151">
        <f t="shared" si="2"/>
        <v>0</v>
      </c>
      <c r="L20" s="152">
        <f t="shared" si="3"/>
        <v>0</v>
      </c>
      <c r="M20" s="152"/>
      <c r="N20" s="153"/>
      <c r="O20" s="154">
        <f t="shared" si="4"/>
        <v>0</v>
      </c>
      <c r="P20" s="155"/>
      <c r="Z20" s="3"/>
      <c r="AA20" s="3"/>
      <c r="AB20" s="3"/>
      <c r="AC20" s="3"/>
      <c r="AD20" s="3"/>
      <c r="AE20" s="3"/>
      <c r="AF20" s="3"/>
      <c r="AG20" s="3"/>
      <c r="AH20" s="3"/>
      <c r="AI20" s="3"/>
      <c r="AJ20" s="3"/>
    </row>
    <row r="21" spans="1:36" ht="55.5" hidden="1" customHeight="1" x14ac:dyDescent="0.25">
      <c r="A21" s="590"/>
      <c r="B21" s="591"/>
      <c r="C21" s="61"/>
      <c r="D21" s="61"/>
      <c r="E21" s="61"/>
      <c r="F21" s="61"/>
      <c r="G21" s="231"/>
      <c r="H21" s="231"/>
      <c r="I21" s="231"/>
      <c r="J21" s="231">
        <f t="shared" si="1"/>
        <v>0</v>
      </c>
      <c r="K21" s="151">
        <f t="shared" si="2"/>
        <v>0</v>
      </c>
      <c r="L21" s="152">
        <f t="shared" si="3"/>
        <v>0</v>
      </c>
      <c r="M21" s="152"/>
      <c r="N21" s="153"/>
      <c r="O21" s="154">
        <f t="shared" si="4"/>
        <v>0</v>
      </c>
      <c r="P21" s="155"/>
      <c r="AA21" s="178"/>
    </row>
    <row r="22" spans="1:36" ht="55.5" hidden="1" customHeight="1" x14ac:dyDescent="0.25">
      <c r="A22" s="590"/>
      <c r="B22" s="591"/>
      <c r="C22" s="61"/>
      <c r="D22" s="61"/>
      <c r="E22" s="61"/>
      <c r="F22" s="61"/>
      <c r="G22" s="231"/>
      <c r="H22" s="231"/>
      <c r="I22" s="231"/>
      <c r="J22" s="231">
        <f t="shared" si="1"/>
        <v>0</v>
      </c>
      <c r="K22" s="151">
        <f t="shared" si="2"/>
        <v>0</v>
      </c>
      <c r="L22" s="152">
        <f t="shared" si="3"/>
        <v>0</v>
      </c>
      <c r="M22" s="152"/>
      <c r="N22" s="153"/>
      <c r="O22" s="154">
        <f t="shared" si="4"/>
        <v>0</v>
      </c>
      <c r="P22" s="155"/>
    </row>
    <row r="23" spans="1:36" ht="55.5" hidden="1" customHeight="1" x14ac:dyDescent="0.25">
      <c r="A23" s="590"/>
      <c r="B23" s="591"/>
      <c r="C23" s="61"/>
      <c r="D23" s="61"/>
      <c r="E23" s="61"/>
      <c r="F23" s="61"/>
      <c r="G23" s="231"/>
      <c r="H23" s="231"/>
      <c r="I23" s="231"/>
      <c r="J23" s="231">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234">
        <f>SUM(G14:G23)</f>
        <v>11387</v>
      </c>
      <c r="H24" s="234">
        <f>SUM(H14:H23)</f>
        <v>1213.05</v>
      </c>
      <c r="I24" s="234">
        <f>SUM(I14:I23)</f>
        <v>0</v>
      </c>
      <c r="J24" s="234">
        <f>SUM(J14:J23)</f>
        <v>1213.05</v>
      </c>
      <c r="K24" s="156">
        <f>J24-G24</f>
        <v>-10173.950000000001</v>
      </c>
      <c r="L24" s="156">
        <f t="shared" si="3"/>
        <v>-89.347062439624139</v>
      </c>
      <c r="M24" s="156"/>
      <c r="N24" s="157">
        <f>SUM(N14:N23)</f>
        <v>0</v>
      </c>
      <c r="O24" s="156">
        <f t="shared" si="4"/>
        <v>0</v>
      </c>
      <c r="P24" s="158"/>
    </row>
    <row r="25" spans="1:36" ht="19.5" x14ac:dyDescent="0.3">
      <c r="A25" s="1"/>
      <c r="B25" s="1"/>
      <c r="C25" s="1"/>
      <c r="D25" s="1"/>
      <c r="E25" s="1"/>
      <c r="F25" s="1"/>
      <c r="G25" s="235">
        <f>'Quadro Geral'!J16</f>
        <v>11387</v>
      </c>
      <c r="H25" s="235">
        <f>'Quadro Geral'!K16</f>
        <v>1213.05</v>
      </c>
      <c r="I25" s="235">
        <f>'Quadro Geral'!L16</f>
        <v>0</v>
      </c>
      <c r="J25" s="235">
        <f>'Quadro Geral'!M16</f>
        <v>1213.05</v>
      </c>
      <c r="K25" s="1"/>
      <c r="L25" s="1"/>
      <c r="M25" s="1"/>
      <c r="N25" s="1"/>
      <c r="O25" s="1"/>
      <c r="P25" s="1"/>
    </row>
    <row r="26" spans="1:36" x14ac:dyDescent="0.4">
      <c r="A26" s="306" t="s">
        <v>296</v>
      </c>
      <c r="B26" s="306"/>
      <c r="C26" s="306"/>
      <c r="D26" s="306"/>
      <c r="E26" s="306"/>
      <c r="F26" s="306"/>
      <c r="G26" s="306" t="b">
        <f>G24=G25</f>
        <v>1</v>
      </c>
      <c r="H26" s="306" t="b">
        <f t="shared" ref="H26:J26" si="5">H24=H25</f>
        <v>1</v>
      </c>
      <c r="I26" s="306" t="b">
        <f t="shared" si="5"/>
        <v>1</v>
      </c>
      <c r="J26" s="306" t="b">
        <f t="shared" si="5"/>
        <v>1</v>
      </c>
      <c r="K26" s="306"/>
      <c r="L26" s="306"/>
      <c r="M26" s="306"/>
      <c r="N26" s="306"/>
      <c r="O26" s="306"/>
      <c r="P26" s="306"/>
    </row>
    <row r="27" spans="1:36" ht="36" customHeight="1" x14ac:dyDescent="0.25">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t="15" hidden="1" x14ac:dyDescent="0.25">
      <c r="A36" s="598" t="s">
        <v>387</v>
      </c>
      <c r="B36" s="599"/>
      <c r="C36" s="599"/>
      <c r="D36" s="599"/>
      <c r="E36" s="599"/>
      <c r="F36" s="599"/>
      <c r="G36" s="599"/>
      <c r="H36" s="599"/>
      <c r="I36" s="599"/>
      <c r="J36" s="599"/>
      <c r="K36" s="599"/>
      <c r="L36" s="599"/>
      <c r="M36" s="599"/>
      <c r="N36" s="599"/>
      <c r="O36" s="599"/>
      <c r="P36" s="600"/>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1.5"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374.25" customHeight="1" thickBot="1" x14ac:dyDescent="0.3">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1">
    <mergeCell ref="A6:P6"/>
    <mergeCell ref="A7:P7"/>
    <mergeCell ref="A8:F8"/>
    <mergeCell ref="G8:P8"/>
    <mergeCell ref="A9:F9"/>
    <mergeCell ref="G9:P9"/>
    <mergeCell ref="A24:F24"/>
    <mergeCell ref="P11:P13"/>
    <mergeCell ref="C12:E12"/>
    <mergeCell ref="F12:F13"/>
    <mergeCell ref="G12:G13"/>
    <mergeCell ref="H12:J12"/>
    <mergeCell ref="K12:K13"/>
    <mergeCell ref="L12:L13"/>
    <mergeCell ref="N12:N13"/>
    <mergeCell ref="O12:O13"/>
    <mergeCell ref="N11:O11"/>
    <mergeCell ref="A11:B13"/>
    <mergeCell ref="C11:F11"/>
    <mergeCell ref="G11:J11"/>
    <mergeCell ref="K11:L11"/>
    <mergeCell ref="M11:M13"/>
    <mergeCell ref="A19:B19"/>
    <mergeCell ref="A20:B20"/>
    <mergeCell ref="A21:B21"/>
    <mergeCell ref="A22:B22"/>
    <mergeCell ref="A23:B23"/>
    <mergeCell ref="Q14:W14"/>
    <mergeCell ref="A15:B15"/>
    <mergeCell ref="A16:B16"/>
    <mergeCell ref="A17:B17"/>
    <mergeCell ref="A18:B18"/>
    <mergeCell ref="C33:F33"/>
    <mergeCell ref="A35:P35"/>
    <mergeCell ref="A36:P84"/>
    <mergeCell ref="A27:P27"/>
    <mergeCell ref="A28:P28"/>
    <mergeCell ref="A29:F29"/>
    <mergeCell ref="C30:F30"/>
    <mergeCell ref="C31:F31"/>
    <mergeCell ref="C32:F32"/>
  </mergeCells>
  <dataValidations count="2">
    <dataValidation type="list" allowBlank="1" showInputMessage="1" showErrorMessage="1" sqref="M15:M23">
      <formula1>$BA$13:$BA$16</formula1>
    </dataValidation>
    <dataValidation type="list" allowBlank="1" showInputMessage="1" showErrorMessage="1" sqref="BA13:BA15">
      <formula1>$BA$13:$BA$15</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[3]Resumo!#REF!</xm:f>
          </x14:formula1>
          <xm:sqref>E15:E19</xm:sqref>
        </x14:dataValidation>
        <x14:dataValidation type="list" allowBlank="1" showInputMessage="1" showErrorMessage="1">
          <x14:formula1>
            <xm:f>'AÇÕES ESTRATÉGICAS - DESCRIÇÃO '!$C$2:$C$22</xm:f>
          </x14:formula1>
          <xm:sqref>E20:E23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5:BA84"/>
  <sheetViews>
    <sheetView showGridLines="0" topLeftCell="A6" zoomScale="40" zoomScaleNormal="40" zoomScaleSheetLayoutView="80" workbookViewId="0">
      <selection activeCell="G26" sqref="G26:J26"/>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9.140625" style="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432</v>
      </c>
      <c r="H8" s="570"/>
      <c r="I8" s="570"/>
      <c r="J8" s="570"/>
      <c r="K8" s="570"/>
      <c r="L8" s="570"/>
      <c r="M8" s="570"/>
      <c r="N8" s="570"/>
      <c r="O8" s="570"/>
      <c r="P8" s="571"/>
      <c r="Q8" s="1" t="b">
        <f>G8='Quadro Geral'!E17</f>
        <v>1</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526</v>
      </c>
      <c r="H9" s="570"/>
      <c r="I9" s="570"/>
      <c r="J9" s="570"/>
      <c r="K9" s="570"/>
      <c r="L9" s="570"/>
      <c r="M9" s="570"/>
      <c r="N9" s="570"/>
      <c r="O9" s="570"/>
      <c r="P9" s="571"/>
      <c r="Q9" s="30" t="s">
        <v>702</v>
      </c>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198" t="s">
        <v>289</v>
      </c>
      <c r="D13" s="199" t="s">
        <v>288</v>
      </c>
      <c r="E13" s="130" t="s">
        <v>217</v>
      </c>
      <c r="F13" s="582"/>
      <c r="G13" s="582"/>
      <c r="H13" s="198" t="s">
        <v>373</v>
      </c>
      <c r="I13" s="198" t="s">
        <v>374</v>
      </c>
      <c r="J13" s="198"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105" x14ac:dyDescent="0.5">
      <c r="A15" s="590" t="s">
        <v>512</v>
      </c>
      <c r="B15" s="591"/>
      <c r="C15" s="200">
        <v>12</v>
      </c>
      <c r="D15" s="61" t="s">
        <v>611</v>
      </c>
      <c r="E15" s="61" t="s">
        <v>258</v>
      </c>
      <c r="F15" s="61" t="s">
        <v>612</v>
      </c>
      <c r="G15" s="210">
        <v>20000</v>
      </c>
      <c r="H15" s="231">
        <v>1390.26</v>
      </c>
      <c r="I15" s="231">
        <v>0</v>
      </c>
      <c r="J15" s="231">
        <f>H15+I15</f>
        <v>1390.26</v>
      </c>
      <c r="K15" s="151">
        <f>J15-G15</f>
        <v>-18609.740000000002</v>
      </c>
      <c r="L15" s="152">
        <f>IFERROR(K15/G15*100,0)</f>
        <v>-93.048700000000011</v>
      </c>
      <c r="M15" s="152" t="s">
        <v>371</v>
      </c>
      <c r="N15" s="153"/>
      <c r="O15" s="154">
        <f>IFERROR(N15/J15*100,)</f>
        <v>0</v>
      </c>
      <c r="P15" s="155" t="s">
        <v>615</v>
      </c>
      <c r="Z15" s="3"/>
      <c r="AA15" s="118"/>
      <c r="AB15" s="116"/>
      <c r="AC15" s="116"/>
      <c r="AD15" s="116"/>
      <c r="AE15" s="116"/>
      <c r="AF15" s="116"/>
      <c r="AG15" s="3"/>
      <c r="AH15" s="3"/>
      <c r="AI15" s="3"/>
      <c r="AJ15" s="3"/>
      <c r="AZ15" s="188"/>
      <c r="BA15" s="188" t="s">
        <v>213</v>
      </c>
    </row>
    <row r="16" spans="1:53" ht="157.5" x14ac:dyDescent="0.5">
      <c r="A16" s="590" t="s">
        <v>514</v>
      </c>
      <c r="B16" s="591"/>
      <c r="C16" s="200">
        <v>12</v>
      </c>
      <c r="D16" s="61" t="s">
        <v>613</v>
      </c>
      <c r="E16" s="61" t="s">
        <v>262</v>
      </c>
      <c r="F16" s="61" t="s">
        <v>614</v>
      </c>
      <c r="G16" s="210"/>
      <c r="H16" s="231"/>
      <c r="I16" s="231"/>
      <c r="J16" s="231">
        <f t="shared" ref="J16:J23" si="1">H16+I16</f>
        <v>0</v>
      </c>
      <c r="K16" s="151">
        <f t="shared" ref="K16:K22" si="2">J16-G16</f>
        <v>0</v>
      </c>
      <c r="L16" s="152">
        <f t="shared" ref="L16:L24" si="3">IFERROR(K16/G16*100,0)</f>
        <v>0</v>
      </c>
      <c r="M16" s="152" t="s">
        <v>371</v>
      </c>
      <c r="N16" s="153"/>
      <c r="O16" s="154">
        <f t="shared" ref="O16:O24" si="4">IFERROR(N16/J16*100,)</f>
        <v>0</v>
      </c>
      <c r="P16" s="155" t="s">
        <v>615</v>
      </c>
      <c r="Z16" s="3"/>
      <c r="AA16" s="118"/>
      <c r="AB16" s="116"/>
      <c r="AC16" s="116"/>
      <c r="AD16" s="116"/>
      <c r="AE16" s="116"/>
      <c r="AF16" s="116"/>
      <c r="AG16" s="3"/>
      <c r="AH16" s="3"/>
      <c r="AI16" s="3"/>
      <c r="AJ16" s="3"/>
      <c r="AZ16" s="188"/>
      <c r="BA16" s="188" t="s">
        <v>371</v>
      </c>
    </row>
    <row r="17" spans="1:36" ht="94.5" customHeight="1" x14ac:dyDescent="0.4">
      <c r="A17" s="590" t="s">
        <v>513</v>
      </c>
      <c r="B17" s="591"/>
      <c r="C17" s="200">
        <v>2</v>
      </c>
      <c r="D17" s="61" t="s">
        <v>602</v>
      </c>
      <c r="E17" s="61" t="s">
        <v>262</v>
      </c>
      <c r="F17" s="61" t="s">
        <v>524</v>
      </c>
      <c r="G17" s="210">
        <v>20000</v>
      </c>
      <c r="H17" s="231">
        <v>0</v>
      </c>
      <c r="I17" s="231">
        <v>0</v>
      </c>
      <c r="J17" s="231">
        <f t="shared" si="1"/>
        <v>0</v>
      </c>
      <c r="K17" s="151">
        <f t="shared" si="2"/>
        <v>-20000</v>
      </c>
      <c r="L17" s="152">
        <f t="shared" si="3"/>
        <v>-100</v>
      </c>
      <c r="M17" s="152" t="s">
        <v>371</v>
      </c>
      <c r="N17" s="153"/>
      <c r="O17" s="154">
        <f t="shared" si="4"/>
        <v>0</v>
      </c>
      <c r="P17" s="155" t="s">
        <v>615</v>
      </c>
      <c r="Z17" s="3"/>
      <c r="AA17" s="118"/>
      <c r="AB17" s="116"/>
      <c r="AC17" s="116"/>
      <c r="AD17" s="116"/>
      <c r="AE17" s="116"/>
      <c r="AF17" s="116"/>
      <c r="AG17" s="3"/>
      <c r="AH17" s="3"/>
      <c r="AI17" s="3"/>
      <c r="AJ17" s="3"/>
    </row>
    <row r="18" spans="1:36" ht="28.5" hidden="1" x14ac:dyDescent="0.4">
      <c r="A18" s="590"/>
      <c r="B18" s="591"/>
      <c r="C18" s="200"/>
      <c r="D18" s="61"/>
      <c r="E18" s="61"/>
      <c r="F18" s="61"/>
      <c r="G18" s="232"/>
      <c r="H18" s="231"/>
      <c r="I18" s="231"/>
      <c r="J18" s="231">
        <f t="shared" si="1"/>
        <v>0</v>
      </c>
      <c r="K18" s="151">
        <f t="shared" si="2"/>
        <v>0</v>
      </c>
      <c r="L18" s="152">
        <f t="shared" si="3"/>
        <v>0</v>
      </c>
      <c r="M18" s="152"/>
      <c r="N18" s="153"/>
      <c r="O18" s="154">
        <f t="shared" si="4"/>
        <v>0</v>
      </c>
      <c r="P18" s="155"/>
      <c r="Z18" s="3"/>
      <c r="AA18" s="118"/>
      <c r="AB18" s="116"/>
      <c r="AC18" s="116"/>
      <c r="AD18" s="116"/>
      <c r="AE18" s="116"/>
      <c r="AF18" s="116"/>
      <c r="AG18" s="3"/>
      <c r="AH18" s="3"/>
      <c r="AI18" s="3"/>
      <c r="AJ18" s="3"/>
    </row>
    <row r="19" spans="1:36" ht="28.5" hidden="1" x14ac:dyDescent="0.25">
      <c r="A19" s="590"/>
      <c r="B19" s="591"/>
      <c r="C19" s="200"/>
      <c r="D19" s="61"/>
      <c r="E19" s="61"/>
      <c r="F19" s="61"/>
      <c r="G19" s="233"/>
      <c r="H19" s="231"/>
      <c r="I19" s="231"/>
      <c r="J19" s="231">
        <f t="shared" si="1"/>
        <v>0</v>
      </c>
      <c r="K19" s="151">
        <f t="shared" si="2"/>
        <v>0</v>
      </c>
      <c r="L19" s="152">
        <f t="shared" si="3"/>
        <v>0</v>
      </c>
      <c r="M19" s="152"/>
      <c r="N19" s="153"/>
      <c r="O19" s="154">
        <f t="shared" si="4"/>
        <v>0</v>
      </c>
      <c r="P19" s="155"/>
      <c r="Z19" s="3"/>
      <c r="AA19" s="3"/>
      <c r="AB19" s="3"/>
      <c r="AC19" s="3"/>
      <c r="AD19" s="3"/>
      <c r="AE19" s="3"/>
      <c r="AF19" s="3"/>
      <c r="AG19" s="3"/>
      <c r="AH19" s="3"/>
      <c r="AI19" s="3"/>
      <c r="AJ19" s="3"/>
    </row>
    <row r="20" spans="1:36" ht="55.5" hidden="1" customHeight="1" x14ac:dyDescent="0.25">
      <c r="A20" s="590"/>
      <c r="B20" s="591"/>
      <c r="C20" s="61"/>
      <c r="D20" s="61"/>
      <c r="E20" s="61"/>
      <c r="F20" s="61"/>
      <c r="G20" s="231"/>
      <c r="H20" s="231"/>
      <c r="I20" s="231"/>
      <c r="J20" s="231">
        <f t="shared" si="1"/>
        <v>0</v>
      </c>
      <c r="K20" s="151">
        <f t="shared" si="2"/>
        <v>0</v>
      </c>
      <c r="L20" s="152">
        <f t="shared" si="3"/>
        <v>0</v>
      </c>
      <c r="M20" s="152"/>
      <c r="N20" s="153"/>
      <c r="O20" s="154">
        <f t="shared" si="4"/>
        <v>0</v>
      </c>
      <c r="P20" s="155"/>
      <c r="Z20" s="3"/>
      <c r="AA20" s="3"/>
      <c r="AB20" s="3"/>
      <c r="AC20" s="3"/>
      <c r="AD20" s="3"/>
      <c r="AE20" s="3"/>
      <c r="AF20" s="3"/>
      <c r="AG20" s="3"/>
      <c r="AH20" s="3"/>
      <c r="AI20" s="3"/>
      <c r="AJ20" s="3"/>
    </row>
    <row r="21" spans="1:36" ht="55.5" hidden="1" customHeight="1" x14ac:dyDescent="0.25">
      <c r="A21" s="590"/>
      <c r="B21" s="591"/>
      <c r="C21" s="61"/>
      <c r="D21" s="61"/>
      <c r="E21" s="61"/>
      <c r="F21" s="61"/>
      <c r="G21" s="231"/>
      <c r="H21" s="231"/>
      <c r="I21" s="231"/>
      <c r="J21" s="231">
        <f t="shared" si="1"/>
        <v>0</v>
      </c>
      <c r="K21" s="151">
        <f t="shared" si="2"/>
        <v>0</v>
      </c>
      <c r="L21" s="152">
        <f t="shared" si="3"/>
        <v>0</v>
      </c>
      <c r="M21" s="152"/>
      <c r="N21" s="153"/>
      <c r="O21" s="154">
        <f t="shared" si="4"/>
        <v>0</v>
      </c>
      <c r="P21" s="155"/>
      <c r="AA21" s="178"/>
    </row>
    <row r="22" spans="1:36" ht="55.5" hidden="1" customHeight="1" x14ac:dyDescent="0.25">
      <c r="A22" s="590"/>
      <c r="B22" s="591"/>
      <c r="C22" s="61"/>
      <c r="D22" s="61"/>
      <c r="E22" s="61"/>
      <c r="F22" s="61"/>
      <c r="G22" s="231"/>
      <c r="H22" s="231"/>
      <c r="I22" s="231"/>
      <c r="J22" s="231">
        <f t="shared" si="1"/>
        <v>0</v>
      </c>
      <c r="K22" s="151">
        <f t="shared" si="2"/>
        <v>0</v>
      </c>
      <c r="L22" s="152">
        <f t="shared" si="3"/>
        <v>0</v>
      </c>
      <c r="M22" s="152"/>
      <c r="N22" s="153"/>
      <c r="O22" s="154">
        <f t="shared" si="4"/>
        <v>0</v>
      </c>
      <c r="P22" s="155"/>
    </row>
    <row r="23" spans="1:36" ht="55.5" hidden="1" customHeight="1" x14ac:dyDescent="0.25">
      <c r="A23" s="590"/>
      <c r="B23" s="591"/>
      <c r="C23" s="61"/>
      <c r="D23" s="61"/>
      <c r="E23" s="61"/>
      <c r="F23" s="61"/>
      <c r="G23" s="231"/>
      <c r="H23" s="231"/>
      <c r="I23" s="231"/>
      <c r="J23" s="231">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234">
        <f>SUM(G14:G23)</f>
        <v>40000</v>
      </c>
      <c r="H24" s="234">
        <f t="shared" ref="H24:J24" si="5">SUM(H14:H23)</f>
        <v>1390.26</v>
      </c>
      <c r="I24" s="234">
        <f t="shared" si="5"/>
        <v>0</v>
      </c>
      <c r="J24" s="234">
        <f t="shared" si="5"/>
        <v>1390.26</v>
      </c>
      <c r="K24" s="156">
        <f>J24-G24</f>
        <v>-38609.74</v>
      </c>
      <c r="L24" s="156">
        <f t="shared" si="3"/>
        <v>-96.524349999999998</v>
      </c>
      <c r="M24" s="156"/>
      <c r="N24" s="157">
        <f>SUM(N14:N23)</f>
        <v>0</v>
      </c>
      <c r="O24" s="156">
        <f t="shared" si="4"/>
        <v>0</v>
      </c>
      <c r="P24" s="158"/>
    </row>
    <row r="25" spans="1:36" ht="19.5" x14ac:dyDescent="0.3">
      <c r="A25" s="1"/>
      <c r="B25" s="1"/>
      <c r="C25" s="1"/>
      <c r="D25" s="1"/>
      <c r="E25" s="1"/>
      <c r="F25" s="1"/>
      <c r="G25" s="235">
        <f>'Quadro Geral'!J17</f>
        <v>40000</v>
      </c>
      <c r="H25" s="235">
        <f>'Quadro Geral'!K17</f>
        <v>1390.26</v>
      </c>
      <c r="I25" s="235">
        <f>'Quadro Geral'!L17</f>
        <v>0</v>
      </c>
      <c r="J25" s="235">
        <f>'Quadro Geral'!M17</f>
        <v>1390.26</v>
      </c>
      <c r="K25" s="1"/>
      <c r="L25" s="1"/>
      <c r="M25" s="1"/>
      <c r="N25" s="1"/>
      <c r="O25" s="1"/>
      <c r="P25" s="1"/>
    </row>
    <row r="26" spans="1:36" x14ac:dyDescent="0.4">
      <c r="A26" s="306" t="s">
        <v>296</v>
      </c>
      <c r="B26" s="306"/>
      <c r="C26" s="306"/>
      <c r="D26" s="306"/>
      <c r="E26" s="306"/>
      <c r="F26" s="306"/>
      <c r="G26" s="306" t="b">
        <f>G24=G25</f>
        <v>1</v>
      </c>
      <c r="H26" s="306" t="b">
        <f t="shared" ref="H26:J26" si="6">H24=H25</f>
        <v>1</v>
      </c>
      <c r="I26" s="306" t="b">
        <f t="shared" si="6"/>
        <v>1</v>
      </c>
      <c r="J26" s="306" t="b">
        <f t="shared" si="6"/>
        <v>1</v>
      </c>
      <c r="K26" s="306"/>
      <c r="L26" s="306"/>
      <c r="M26" s="306"/>
      <c r="N26" s="306"/>
      <c r="O26" s="306"/>
      <c r="P26" s="306"/>
    </row>
    <row r="27" spans="1:36" ht="36" customHeight="1" x14ac:dyDescent="0.25">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t="15" hidden="1" x14ac:dyDescent="0.25">
      <c r="A36" s="598" t="s">
        <v>387</v>
      </c>
      <c r="B36" s="599"/>
      <c r="C36" s="599"/>
      <c r="D36" s="599"/>
      <c r="E36" s="599"/>
      <c r="F36" s="599"/>
      <c r="G36" s="599"/>
      <c r="H36" s="599"/>
      <c r="I36" s="599"/>
      <c r="J36" s="599"/>
      <c r="K36" s="599"/>
      <c r="L36" s="599"/>
      <c r="M36" s="599"/>
      <c r="N36" s="599"/>
      <c r="O36" s="599"/>
      <c r="P36" s="600"/>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1.5"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374.25" customHeight="1" thickBot="1" x14ac:dyDescent="0.3">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1">
    <mergeCell ref="A6:P6"/>
    <mergeCell ref="A7:P7"/>
    <mergeCell ref="A8:F8"/>
    <mergeCell ref="G8:P8"/>
    <mergeCell ref="A9:F9"/>
    <mergeCell ref="G9:P9"/>
    <mergeCell ref="A24:F24"/>
    <mergeCell ref="P11:P13"/>
    <mergeCell ref="C12:E12"/>
    <mergeCell ref="F12:F13"/>
    <mergeCell ref="G12:G13"/>
    <mergeCell ref="H12:J12"/>
    <mergeCell ref="K12:K13"/>
    <mergeCell ref="L12:L13"/>
    <mergeCell ref="N12:N13"/>
    <mergeCell ref="O12:O13"/>
    <mergeCell ref="N11:O11"/>
    <mergeCell ref="A11:B13"/>
    <mergeCell ref="C11:F11"/>
    <mergeCell ref="G11:J11"/>
    <mergeCell ref="K11:L11"/>
    <mergeCell ref="M11:M13"/>
    <mergeCell ref="A19:B19"/>
    <mergeCell ref="A20:B20"/>
    <mergeCell ref="A21:B21"/>
    <mergeCell ref="A22:B22"/>
    <mergeCell ref="A23:B23"/>
    <mergeCell ref="Q14:W14"/>
    <mergeCell ref="A15:B15"/>
    <mergeCell ref="A16:B16"/>
    <mergeCell ref="A17:B17"/>
    <mergeCell ref="A18:B18"/>
    <mergeCell ref="C33:F33"/>
    <mergeCell ref="A35:P35"/>
    <mergeCell ref="A36:P84"/>
    <mergeCell ref="A27:P27"/>
    <mergeCell ref="A28:P28"/>
    <mergeCell ref="A29:F29"/>
    <mergeCell ref="C30:F30"/>
    <mergeCell ref="C31:F31"/>
    <mergeCell ref="C32:F32"/>
  </mergeCells>
  <dataValidations count="2">
    <dataValidation type="list" allowBlank="1" showInputMessage="1" showErrorMessage="1" sqref="M15:M23">
      <formula1>$BA$13:$BA$16</formula1>
    </dataValidation>
    <dataValidation type="list" allowBlank="1" showInputMessage="1" showErrorMessage="1" sqref="BA13:BA15">
      <formula1>$BA$13:$BA$15</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[3]Resumo!#REF!</xm:f>
          </x14:formula1>
          <xm:sqref>E18:E19</xm:sqref>
        </x14:dataValidation>
        <x14:dataValidation type="list" allowBlank="1" showInputMessage="1" showErrorMessage="1">
          <x14:formula1>
            <xm:f>'AÇÕES ESTRATÉGICAS - DESCRIÇÃO '!$C$2:$C$22</xm:f>
          </x14:formula1>
          <xm:sqref>E20:E23</xm:sqref>
        </x14:dataValidation>
        <x14:dataValidation type="list" allowBlank="1" showInputMessage="1" showErrorMessage="1">
          <x14:formula1>
            <xm:f>'[3]Ações Estratégicas - Descrição'!#REF!</xm:f>
          </x14:formula1>
          <xm:sqref>E15:E17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5:BA84"/>
  <sheetViews>
    <sheetView showGridLines="0" topLeftCell="A10" zoomScale="40" zoomScaleNormal="40" zoomScaleSheetLayoutView="80" workbookViewId="0">
      <selection activeCell="D17" sqref="D17"/>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27.7109375" style="1" bestFit="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434</v>
      </c>
      <c r="H8" s="570"/>
      <c r="I8" s="570"/>
      <c r="J8" s="570"/>
      <c r="K8" s="570"/>
      <c r="L8" s="570"/>
      <c r="M8" s="570"/>
      <c r="N8" s="570"/>
      <c r="O8" s="570"/>
      <c r="P8" s="571"/>
      <c r="Q8" s="307" t="b">
        <f>G8='Quadro Geral'!E18</f>
        <v>1</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526</v>
      </c>
      <c r="H9" s="570"/>
      <c r="I9" s="570"/>
      <c r="J9" s="570"/>
      <c r="K9" s="570"/>
      <c r="L9" s="570"/>
      <c r="M9" s="570"/>
      <c r="N9" s="570"/>
      <c r="O9" s="570"/>
      <c r="P9" s="571"/>
      <c r="Q9" s="30" t="s">
        <v>702</v>
      </c>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198" t="s">
        <v>289</v>
      </c>
      <c r="D13" s="199" t="s">
        <v>288</v>
      </c>
      <c r="E13" s="130" t="s">
        <v>217</v>
      </c>
      <c r="F13" s="582"/>
      <c r="G13" s="582"/>
      <c r="H13" s="198" t="s">
        <v>373</v>
      </c>
      <c r="I13" s="198" t="s">
        <v>374</v>
      </c>
      <c r="J13" s="198"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157.5" x14ac:dyDescent="0.5">
      <c r="A15" s="590" t="s">
        <v>512</v>
      </c>
      <c r="B15" s="591"/>
      <c r="C15" s="200">
        <v>12</v>
      </c>
      <c r="D15" s="61" t="s">
        <v>616</v>
      </c>
      <c r="E15" s="61" t="s">
        <v>281</v>
      </c>
      <c r="F15" s="61" t="s">
        <v>617</v>
      </c>
      <c r="G15" s="210">
        <v>18000</v>
      </c>
      <c r="H15" s="231">
        <v>1140.6300000000001</v>
      </c>
      <c r="I15" s="231">
        <v>0</v>
      </c>
      <c r="J15" s="231">
        <f>H15+I15</f>
        <v>1140.6300000000001</v>
      </c>
      <c r="K15" s="151">
        <f>J15-G15</f>
        <v>-16859.37</v>
      </c>
      <c r="L15" s="152">
        <f>IFERROR(K15/G15*100,0)</f>
        <v>-93.663166666666669</v>
      </c>
      <c r="M15" s="152" t="s">
        <v>371</v>
      </c>
      <c r="N15" s="153"/>
      <c r="O15" s="154">
        <f>IFERROR(N15/J15*100,)</f>
        <v>0</v>
      </c>
      <c r="P15" s="155" t="s">
        <v>620</v>
      </c>
      <c r="Z15" s="3"/>
      <c r="AA15" s="118"/>
      <c r="AB15" s="116"/>
      <c r="AC15" s="116"/>
      <c r="AD15" s="116"/>
      <c r="AE15" s="116"/>
      <c r="AF15" s="116"/>
      <c r="AG15" s="3"/>
      <c r="AH15" s="3"/>
      <c r="AI15" s="3"/>
      <c r="AJ15" s="3"/>
      <c r="AZ15" s="188"/>
      <c r="BA15" s="188" t="s">
        <v>213</v>
      </c>
    </row>
    <row r="16" spans="1:53" ht="105" x14ac:dyDescent="0.5">
      <c r="A16" s="590" t="s">
        <v>514</v>
      </c>
      <c r="B16" s="591"/>
      <c r="C16" s="200">
        <v>4</v>
      </c>
      <c r="D16" s="61" t="s">
        <v>618</v>
      </c>
      <c r="E16" s="61" t="s">
        <v>281</v>
      </c>
      <c r="F16" s="61" t="s">
        <v>619</v>
      </c>
      <c r="G16" s="210"/>
      <c r="H16" s="231"/>
      <c r="I16" s="231"/>
      <c r="J16" s="231">
        <f t="shared" ref="J16:J23" si="1">H16+I16</f>
        <v>0</v>
      </c>
      <c r="K16" s="151">
        <f t="shared" ref="K16:K22" si="2">J16-G16</f>
        <v>0</v>
      </c>
      <c r="L16" s="152">
        <f t="shared" ref="L16:L24" si="3">IFERROR(K16/G16*100,0)</f>
        <v>0</v>
      </c>
      <c r="M16" s="152" t="s">
        <v>371</v>
      </c>
      <c r="N16" s="153"/>
      <c r="O16" s="154">
        <f t="shared" ref="O16:O24" si="4">IFERROR(N16/J16*100,)</f>
        <v>0</v>
      </c>
      <c r="P16" s="155" t="s">
        <v>620</v>
      </c>
      <c r="Z16" s="3"/>
      <c r="AA16" s="118"/>
      <c r="AB16" s="116"/>
      <c r="AC16" s="116"/>
      <c r="AD16" s="116"/>
      <c r="AE16" s="116"/>
      <c r="AF16" s="116"/>
      <c r="AG16" s="3"/>
      <c r="AH16" s="3"/>
      <c r="AI16" s="3"/>
      <c r="AJ16" s="3"/>
      <c r="AZ16" s="188"/>
      <c r="BA16" s="188" t="s">
        <v>371</v>
      </c>
    </row>
    <row r="17" spans="1:36" ht="52.5" x14ac:dyDescent="0.4">
      <c r="A17" s="590" t="s">
        <v>513</v>
      </c>
      <c r="B17" s="591"/>
      <c r="C17" s="200">
        <v>2</v>
      </c>
      <c r="D17" s="61" t="s">
        <v>602</v>
      </c>
      <c r="E17" s="61" t="s">
        <v>281</v>
      </c>
      <c r="F17" s="61" t="s">
        <v>524</v>
      </c>
      <c r="G17" s="210">
        <v>15000</v>
      </c>
      <c r="H17" s="231">
        <v>0</v>
      </c>
      <c r="I17" s="231">
        <v>0</v>
      </c>
      <c r="J17" s="231">
        <f t="shared" si="1"/>
        <v>0</v>
      </c>
      <c r="K17" s="151">
        <f t="shared" si="2"/>
        <v>-15000</v>
      </c>
      <c r="L17" s="152">
        <f t="shared" si="3"/>
        <v>-100</v>
      </c>
      <c r="M17" s="152" t="s">
        <v>371</v>
      </c>
      <c r="N17" s="153"/>
      <c r="O17" s="154">
        <f t="shared" si="4"/>
        <v>0</v>
      </c>
      <c r="P17" s="155" t="s">
        <v>620</v>
      </c>
      <c r="Z17" s="3"/>
      <c r="AA17" s="118"/>
      <c r="AB17" s="116"/>
      <c r="AC17" s="116"/>
      <c r="AD17" s="116"/>
      <c r="AE17" s="116"/>
      <c r="AF17" s="116"/>
      <c r="AG17" s="3"/>
      <c r="AH17" s="3"/>
      <c r="AI17" s="3"/>
      <c r="AJ17" s="3"/>
    </row>
    <row r="18" spans="1:36" ht="28.5" hidden="1" x14ac:dyDescent="0.4">
      <c r="A18" s="590"/>
      <c r="B18" s="591"/>
      <c r="C18" s="200"/>
      <c r="D18" s="61"/>
      <c r="E18" s="61"/>
      <c r="F18" s="61"/>
      <c r="G18" s="232"/>
      <c r="H18" s="231"/>
      <c r="I18" s="231"/>
      <c r="J18" s="231">
        <f t="shared" si="1"/>
        <v>0</v>
      </c>
      <c r="K18" s="151">
        <f t="shared" si="2"/>
        <v>0</v>
      </c>
      <c r="L18" s="152">
        <f t="shared" si="3"/>
        <v>0</v>
      </c>
      <c r="M18" s="152"/>
      <c r="N18" s="153"/>
      <c r="O18" s="154">
        <f t="shared" si="4"/>
        <v>0</v>
      </c>
      <c r="P18" s="155"/>
      <c r="Z18" s="3"/>
      <c r="AA18" s="118"/>
      <c r="AB18" s="116"/>
      <c r="AC18" s="116"/>
      <c r="AD18" s="116"/>
      <c r="AE18" s="116"/>
      <c r="AF18" s="116"/>
      <c r="AG18" s="3"/>
      <c r="AH18" s="3"/>
      <c r="AI18" s="3"/>
      <c r="AJ18" s="3"/>
    </row>
    <row r="19" spans="1:36" ht="28.5" hidden="1" x14ac:dyDescent="0.25">
      <c r="A19" s="590"/>
      <c r="B19" s="591"/>
      <c r="C19" s="200"/>
      <c r="D19" s="61"/>
      <c r="E19" s="61"/>
      <c r="F19" s="61"/>
      <c r="G19" s="233"/>
      <c r="H19" s="231"/>
      <c r="I19" s="231"/>
      <c r="J19" s="231">
        <f t="shared" si="1"/>
        <v>0</v>
      </c>
      <c r="K19" s="151">
        <f t="shared" si="2"/>
        <v>0</v>
      </c>
      <c r="L19" s="152">
        <f t="shared" si="3"/>
        <v>0</v>
      </c>
      <c r="M19" s="152"/>
      <c r="N19" s="153"/>
      <c r="O19" s="154">
        <f t="shared" si="4"/>
        <v>0</v>
      </c>
      <c r="P19" s="155"/>
      <c r="Z19" s="3"/>
      <c r="AA19" s="3"/>
      <c r="AB19" s="3"/>
      <c r="AC19" s="3"/>
      <c r="AD19" s="3"/>
      <c r="AE19" s="3"/>
      <c r="AF19" s="3"/>
      <c r="AG19" s="3"/>
      <c r="AH19" s="3"/>
      <c r="AI19" s="3"/>
      <c r="AJ19" s="3"/>
    </row>
    <row r="20" spans="1:36" ht="55.5" hidden="1" customHeight="1" x14ac:dyDescent="0.25">
      <c r="A20" s="590"/>
      <c r="B20" s="591"/>
      <c r="C20" s="61"/>
      <c r="D20" s="61"/>
      <c r="E20" s="61"/>
      <c r="F20" s="61"/>
      <c r="G20" s="231"/>
      <c r="H20" s="231"/>
      <c r="I20" s="231"/>
      <c r="J20" s="231">
        <f t="shared" si="1"/>
        <v>0</v>
      </c>
      <c r="K20" s="151">
        <f t="shared" si="2"/>
        <v>0</v>
      </c>
      <c r="L20" s="152">
        <f t="shared" si="3"/>
        <v>0</v>
      </c>
      <c r="M20" s="152"/>
      <c r="N20" s="153"/>
      <c r="O20" s="154">
        <f t="shared" si="4"/>
        <v>0</v>
      </c>
      <c r="P20" s="155"/>
      <c r="Z20" s="3"/>
      <c r="AA20" s="3"/>
      <c r="AB20" s="3"/>
      <c r="AC20" s="3"/>
      <c r="AD20" s="3"/>
      <c r="AE20" s="3"/>
      <c r="AF20" s="3"/>
      <c r="AG20" s="3"/>
      <c r="AH20" s="3"/>
      <c r="AI20" s="3"/>
      <c r="AJ20" s="3"/>
    </row>
    <row r="21" spans="1:36" ht="55.5" hidden="1" customHeight="1" x14ac:dyDescent="0.25">
      <c r="A21" s="590"/>
      <c r="B21" s="591"/>
      <c r="C21" s="61"/>
      <c r="D21" s="61"/>
      <c r="E21" s="61"/>
      <c r="F21" s="61"/>
      <c r="G21" s="231"/>
      <c r="H21" s="231"/>
      <c r="I21" s="231"/>
      <c r="J21" s="231">
        <f t="shared" si="1"/>
        <v>0</v>
      </c>
      <c r="K21" s="151">
        <f t="shared" si="2"/>
        <v>0</v>
      </c>
      <c r="L21" s="152">
        <f t="shared" si="3"/>
        <v>0</v>
      </c>
      <c r="M21" s="152"/>
      <c r="N21" s="153"/>
      <c r="O21" s="154">
        <f t="shared" si="4"/>
        <v>0</v>
      </c>
      <c r="P21" s="155"/>
      <c r="AA21" s="178"/>
    </row>
    <row r="22" spans="1:36" ht="55.5" hidden="1" customHeight="1" x14ac:dyDescent="0.25">
      <c r="A22" s="590"/>
      <c r="B22" s="591"/>
      <c r="C22" s="61"/>
      <c r="D22" s="61"/>
      <c r="E22" s="61"/>
      <c r="F22" s="61"/>
      <c r="G22" s="231"/>
      <c r="H22" s="231"/>
      <c r="I22" s="231"/>
      <c r="J22" s="231">
        <f t="shared" si="1"/>
        <v>0</v>
      </c>
      <c r="K22" s="151">
        <f t="shared" si="2"/>
        <v>0</v>
      </c>
      <c r="L22" s="152">
        <f t="shared" si="3"/>
        <v>0</v>
      </c>
      <c r="M22" s="152"/>
      <c r="N22" s="153"/>
      <c r="O22" s="154">
        <f t="shared" si="4"/>
        <v>0</v>
      </c>
      <c r="P22" s="155"/>
    </row>
    <row r="23" spans="1:36" ht="55.5" hidden="1" customHeight="1" x14ac:dyDescent="0.25">
      <c r="A23" s="590"/>
      <c r="B23" s="591"/>
      <c r="C23" s="61"/>
      <c r="D23" s="61"/>
      <c r="E23" s="61"/>
      <c r="F23" s="61"/>
      <c r="G23" s="231"/>
      <c r="H23" s="231"/>
      <c r="I23" s="231"/>
      <c r="J23" s="231">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234">
        <f>SUM(G14:G23)</f>
        <v>33000</v>
      </c>
      <c r="H24" s="234">
        <f>SUM(H14:H23)</f>
        <v>1140.6300000000001</v>
      </c>
      <c r="I24" s="234">
        <f>SUM(I14:I23)</f>
        <v>0</v>
      </c>
      <c r="J24" s="234">
        <f>SUM(J14:J23)</f>
        <v>1140.6300000000001</v>
      </c>
      <c r="K24" s="156">
        <f>J24-G24</f>
        <v>-31859.37</v>
      </c>
      <c r="L24" s="156">
        <f t="shared" si="3"/>
        <v>-96.543545454545452</v>
      </c>
      <c r="M24" s="156"/>
      <c r="N24" s="157">
        <f>SUM(N14:N23)</f>
        <v>0</v>
      </c>
      <c r="O24" s="156">
        <f t="shared" si="4"/>
        <v>0</v>
      </c>
      <c r="P24" s="158"/>
    </row>
    <row r="25" spans="1:36" ht="19.5" x14ac:dyDescent="0.3">
      <c r="A25" s="1"/>
      <c r="B25" s="1"/>
      <c r="C25" s="1"/>
      <c r="D25" s="1"/>
      <c r="E25" s="1"/>
      <c r="F25" s="1"/>
      <c r="G25" s="235">
        <f>'Quadro Geral'!J18</f>
        <v>33000</v>
      </c>
      <c r="H25" s="235">
        <f>'Quadro Geral'!K18</f>
        <v>1140.6300000000001</v>
      </c>
      <c r="I25" s="235">
        <f>'Quadro Geral'!L18</f>
        <v>0</v>
      </c>
      <c r="J25" s="235">
        <f>'Quadro Geral'!M18</f>
        <v>1140.6300000000001</v>
      </c>
      <c r="K25" s="1"/>
      <c r="L25" s="1"/>
      <c r="M25" s="1"/>
      <c r="N25" s="1"/>
      <c r="O25" s="1"/>
      <c r="P25" s="1"/>
    </row>
    <row r="26" spans="1:36" x14ac:dyDescent="0.4">
      <c r="A26" s="306" t="s">
        <v>296</v>
      </c>
      <c r="B26" s="306"/>
      <c r="C26" s="306"/>
      <c r="D26" s="306"/>
      <c r="E26" s="306"/>
      <c r="F26" s="306"/>
      <c r="G26" s="306" t="b">
        <f>G24=G25</f>
        <v>1</v>
      </c>
      <c r="H26" s="306" t="b">
        <f t="shared" ref="H26:J26" si="5">H24=H25</f>
        <v>1</v>
      </c>
      <c r="I26" s="306" t="b">
        <f t="shared" si="5"/>
        <v>1</v>
      </c>
      <c r="J26" s="306" t="b">
        <f t="shared" si="5"/>
        <v>1</v>
      </c>
      <c r="K26" s="306"/>
      <c r="L26" s="306"/>
      <c r="M26" s="306"/>
      <c r="N26" s="306"/>
      <c r="O26" s="306"/>
      <c r="P26" s="306"/>
    </row>
    <row r="27" spans="1:36" ht="36" customHeight="1" x14ac:dyDescent="0.25">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t="15" hidden="1" x14ac:dyDescent="0.25">
      <c r="A36" s="598" t="s">
        <v>387</v>
      </c>
      <c r="B36" s="599"/>
      <c r="C36" s="599"/>
      <c r="D36" s="599"/>
      <c r="E36" s="599"/>
      <c r="F36" s="599"/>
      <c r="G36" s="599"/>
      <c r="H36" s="599"/>
      <c r="I36" s="599"/>
      <c r="J36" s="599"/>
      <c r="K36" s="599"/>
      <c r="L36" s="599"/>
      <c r="M36" s="599"/>
      <c r="N36" s="599"/>
      <c r="O36" s="599"/>
      <c r="P36" s="600"/>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1.5"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374.25" customHeight="1" thickBot="1" x14ac:dyDescent="0.3">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1">
    <mergeCell ref="A6:P6"/>
    <mergeCell ref="A7:P7"/>
    <mergeCell ref="A8:F8"/>
    <mergeCell ref="G8:P8"/>
    <mergeCell ref="A9:F9"/>
    <mergeCell ref="G9:P9"/>
    <mergeCell ref="A24:F24"/>
    <mergeCell ref="P11:P13"/>
    <mergeCell ref="C12:E12"/>
    <mergeCell ref="F12:F13"/>
    <mergeCell ref="G12:G13"/>
    <mergeCell ref="H12:J12"/>
    <mergeCell ref="K12:K13"/>
    <mergeCell ref="L12:L13"/>
    <mergeCell ref="N12:N13"/>
    <mergeCell ref="O12:O13"/>
    <mergeCell ref="N11:O11"/>
    <mergeCell ref="A11:B13"/>
    <mergeCell ref="C11:F11"/>
    <mergeCell ref="G11:J11"/>
    <mergeCell ref="K11:L11"/>
    <mergeCell ref="M11:M13"/>
    <mergeCell ref="A19:B19"/>
    <mergeCell ref="A20:B20"/>
    <mergeCell ref="A21:B21"/>
    <mergeCell ref="A22:B22"/>
    <mergeCell ref="A23:B23"/>
    <mergeCell ref="Q14:W14"/>
    <mergeCell ref="A15:B15"/>
    <mergeCell ref="A16:B16"/>
    <mergeCell ref="A17:B17"/>
    <mergeCell ref="A18:B18"/>
    <mergeCell ref="C33:F33"/>
    <mergeCell ref="A35:P35"/>
    <mergeCell ref="A36:P84"/>
    <mergeCell ref="A27:P27"/>
    <mergeCell ref="A28:P28"/>
    <mergeCell ref="A29:F29"/>
    <mergeCell ref="C30:F30"/>
    <mergeCell ref="C31:F31"/>
    <mergeCell ref="C32:F32"/>
  </mergeCells>
  <dataValidations count="2">
    <dataValidation type="list" allowBlank="1" showInputMessage="1" showErrorMessage="1" sqref="M15:M23">
      <formula1>$BA$13:$BA$16</formula1>
    </dataValidation>
    <dataValidation type="list" allowBlank="1" showInputMessage="1" showErrorMessage="1" sqref="BA13:BA15">
      <formula1>$BA$13:$BA$15</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[3]Resumo!#REF!</xm:f>
          </x14:formula1>
          <xm:sqref>E15:E19</xm:sqref>
        </x14:dataValidation>
        <x14:dataValidation type="list" allowBlank="1" showInputMessage="1" showErrorMessage="1">
          <x14:formula1>
            <xm:f>'AÇÕES ESTRATÉGICAS - DESCRIÇÃO '!$C$2:$C$22</xm:f>
          </x14:formula1>
          <xm:sqref>E20:E23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5:BA84"/>
  <sheetViews>
    <sheetView showGridLines="0" topLeftCell="A10" zoomScale="40" zoomScaleNormal="40" zoomScaleSheetLayoutView="80" workbookViewId="0">
      <selection activeCell="C19" sqref="C19"/>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9.140625" style="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436</v>
      </c>
      <c r="H8" s="570"/>
      <c r="I8" s="570"/>
      <c r="J8" s="570"/>
      <c r="K8" s="570"/>
      <c r="L8" s="570"/>
      <c r="M8" s="570"/>
      <c r="N8" s="570"/>
      <c r="O8" s="570"/>
      <c r="P8" s="571"/>
      <c r="Q8" s="1" t="b">
        <f>G8='Quadro Geral'!E19</f>
        <v>1</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526</v>
      </c>
      <c r="H9" s="570"/>
      <c r="I9" s="570"/>
      <c r="J9" s="570"/>
      <c r="K9" s="570"/>
      <c r="L9" s="570"/>
      <c r="M9" s="570"/>
      <c r="N9" s="570"/>
      <c r="O9" s="570"/>
      <c r="P9" s="571"/>
      <c r="Q9" s="30" t="s">
        <v>702</v>
      </c>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198" t="s">
        <v>289</v>
      </c>
      <c r="D13" s="199" t="s">
        <v>288</v>
      </c>
      <c r="E13" s="130" t="s">
        <v>217</v>
      </c>
      <c r="F13" s="582"/>
      <c r="G13" s="582"/>
      <c r="H13" s="198" t="s">
        <v>373</v>
      </c>
      <c r="I13" s="198" t="s">
        <v>374</v>
      </c>
      <c r="J13" s="198"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105" x14ac:dyDescent="0.5">
      <c r="A15" s="590" t="s">
        <v>514</v>
      </c>
      <c r="B15" s="591"/>
      <c r="C15" s="200">
        <v>2</v>
      </c>
      <c r="D15" s="61" t="s">
        <v>621</v>
      </c>
      <c r="E15" s="61" t="s">
        <v>250</v>
      </c>
      <c r="F15" s="61" t="s">
        <v>622</v>
      </c>
      <c r="G15" s="210"/>
      <c r="H15" s="231"/>
      <c r="I15" s="231"/>
      <c r="J15" s="231">
        <f>H15+I15</f>
        <v>0</v>
      </c>
      <c r="K15" s="151">
        <f>J15-G15</f>
        <v>0</v>
      </c>
      <c r="L15" s="152">
        <f>IFERROR(K15/G15*100,0)</f>
        <v>0</v>
      </c>
      <c r="M15" s="152" t="s">
        <v>371</v>
      </c>
      <c r="N15" s="153"/>
      <c r="O15" s="154">
        <f>IFERROR(N15/J15*100,)</f>
        <v>0</v>
      </c>
      <c r="P15" s="155" t="s">
        <v>628</v>
      </c>
      <c r="Z15" s="3"/>
      <c r="AA15" s="118"/>
      <c r="AB15" s="116"/>
      <c r="AC15" s="116"/>
      <c r="AD15" s="116"/>
      <c r="AE15" s="116"/>
      <c r="AF15" s="116"/>
      <c r="AG15" s="3"/>
      <c r="AH15" s="3"/>
      <c r="AI15" s="3"/>
      <c r="AJ15" s="3"/>
      <c r="AZ15" s="188"/>
      <c r="BA15" s="188" t="s">
        <v>213</v>
      </c>
    </row>
    <row r="16" spans="1:53" ht="157.5" x14ac:dyDescent="0.5">
      <c r="A16" s="590" t="s">
        <v>512</v>
      </c>
      <c r="B16" s="591"/>
      <c r="C16" s="200">
        <v>12</v>
      </c>
      <c r="D16" s="61" t="s">
        <v>623</v>
      </c>
      <c r="E16" s="61" t="s">
        <v>248</v>
      </c>
      <c r="F16" s="61" t="s">
        <v>624</v>
      </c>
      <c r="G16" s="210">
        <v>18000</v>
      </c>
      <c r="H16" s="231">
        <v>1117.3499999999999</v>
      </c>
      <c r="I16" s="231">
        <v>0</v>
      </c>
      <c r="J16" s="231">
        <f t="shared" ref="J16:J23" si="1">H16+I16</f>
        <v>1117.3499999999999</v>
      </c>
      <c r="K16" s="151">
        <f t="shared" ref="K16:K22" si="2">J16-G16</f>
        <v>-16882.650000000001</v>
      </c>
      <c r="L16" s="152">
        <f t="shared" ref="L16:L24" si="3">IFERROR(K16/G16*100,0)</f>
        <v>-93.792500000000018</v>
      </c>
      <c r="M16" s="152" t="s">
        <v>371</v>
      </c>
      <c r="N16" s="153"/>
      <c r="O16" s="154">
        <f t="shared" ref="O16:O24" si="4">IFERROR(N16/J16*100,)</f>
        <v>0</v>
      </c>
      <c r="P16" s="155" t="s">
        <v>628</v>
      </c>
      <c r="Z16" s="3"/>
      <c r="AA16" s="118"/>
      <c r="AB16" s="116"/>
      <c r="AC16" s="116"/>
      <c r="AD16" s="116"/>
      <c r="AE16" s="116"/>
      <c r="AF16" s="116"/>
      <c r="AG16" s="3"/>
      <c r="AH16" s="3"/>
      <c r="AI16" s="3"/>
      <c r="AJ16" s="3"/>
      <c r="AZ16" s="188"/>
      <c r="BA16" s="188" t="s">
        <v>371</v>
      </c>
    </row>
    <row r="17" spans="1:36" ht="105" x14ac:dyDescent="0.4">
      <c r="A17" s="590" t="s">
        <v>514</v>
      </c>
      <c r="B17" s="591"/>
      <c r="C17" s="200">
        <v>15</v>
      </c>
      <c r="D17" s="61" t="s">
        <v>625</v>
      </c>
      <c r="E17" s="61" t="s">
        <v>248</v>
      </c>
      <c r="F17" s="61" t="s">
        <v>626</v>
      </c>
      <c r="G17" s="210"/>
      <c r="H17" s="231"/>
      <c r="I17" s="231"/>
      <c r="J17" s="231">
        <f t="shared" si="1"/>
        <v>0</v>
      </c>
      <c r="K17" s="151">
        <f t="shared" si="2"/>
        <v>0</v>
      </c>
      <c r="L17" s="152">
        <f t="shared" si="3"/>
        <v>0</v>
      </c>
      <c r="M17" s="152" t="s">
        <v>371</v>
      </c>
      <c r="N17" s="153"/>
      <c r="O17" s="154">
        <f t="shared" si="4"/>
        <v>0</v>
      </c>
      <c r="P17" s="155" t="s">
        <v>628</v>
      </c>
      <c r="Z17" s="3"/>
      <c r="AA17" s="118"/>
      <c r="AB17" s="116"/>
      <c r="AC17" s="116"/>
      <c r="AD17" s="116"/>
      <c r="AE17" s="116"/>
      <c r="AF17" s="116"/>
      <c r="AG17" s="3"/>
      <c r="AH17" s="3"/>
      <c r="AI17" s="3"/>
      <c r="AJ17" s="3"/>
    </row>
    <row r="18" spans="1:36" ht="85.5" x14ac:dyDescent="0.4">
      <c r="A18" s="590" t="s">
        <v>513</v>
      </c>
      <c r="B18" s="591"/>
      <c r="C18" s="200">
        <v>2</v>
      </c>
      <c r="D18" s="61" t="s">
        <v>602</v>
      </c>
      <c r="E18" s="61" t="s">
        <v>248</v>
      </c>
      <c r="F18" s="61" t="s">
        <v>524</v>
      </c>
      <c r="G18" s="210">
        <v>24000</v>
      </c>
      <c r="H18" s="231">
        <v>0</v>
      </c>
      <c r="I18" s="231">
        <v>0</v>
      </c>
      <c r="J18" s="231">
        <f t="shared" si="1"/>
        <v>0</v>
      </c>
      <c r="K18" s="151">
        <f t="shared" si="2"/>
        <v>-24000</v>
      </c>
      <c r="L18" s="152">
        <f t="shared" si="3"/>
        <v>-100</v>
      </c>
      <c r="M18" s="152" t="s">
        <v>371</v>
      </c>
      <c r="N18" s="153"/>
      <c r="O18" s="154">
        <f t="shared" si="4"/>
        <v>0</v>
      </c>
      <c r="P18" s="155" t="s">
        <v>628</v>
      </c>
      <c r="Z18" s="3"/>
      <c r="AA18" s="118"/>
      <c r="AB18" s="116"/>
      <c r="AC18" s="116"/>
      <c r="AD18" s="116"/>
      <c r="AE18" s="116"/>
      <c r="AF18" s="116"/>
      <c r="AG18" s="3"/>
      <c r="AH18" s="3"/>
      <c r="AI18" s="3"/>
      <c r="AJ18" s="3"/>
    </row>
    <row r="19" spans="1:36" ht="85.5" x14ac:dyDescent="0.25">
      <c r="A19" s="590" t="s">
        <v>513</v>
      </c>
      <c r="B19" s="591"/>
      <c r="C19" s="200">
        <v>2</v>
      </c>
      <c r="D19" s="61" t="s">
        <v>627</v>
      </c>
      <c r="E19" s="61" t="s">
        <v>248</v>
      </c>
      <c r="F19" s="61" t="s">
        <v>524</v>
      </c>
      <c r="G19" s="210">
        <v>2000</v>
      </c>
      <c r="H19" s="231">
        <v>0</v>
      </c>
      <c r="I19" s="231">
        <v>0</v>
      </c>
      <c r="J19" s="231">
        <f t="shared" si="1"/>
        <v>0</v>
      </c>
      <c r="K19" s="151">
        <f t="shared" si="2"/>
        <v>-2000</v>
      </c>
      <c r="L19" s="152">
        <f t="shared" si="3"/>
        <v>-100</v>
      </c>
      <c r="M19" s="152" t="s">
        <v>371</v>
      </c>
      <c r="N19" s="153"/>
      <c r="O19" s="154">
        <f t="shared" si="4"/>
        <v>0</v>
      </c>
      <c r="P19" s="155" t="s">
        <v>628</v>
      </c>
      <c r="Z19" s="3"/>
      <c r="AA19" s="3"/>
      <c r="AB19" s="3"/>
      <c r="AC19" s="3"/>
      <c r="AD19" s="3"/>
      <c r="AE19" s="3"/>
      <c r="AF19" s="3"/>
      <c r="AG19" s="3"/>
      <c r="AH19" s="3"/>
      <c r="AI19" s="3"/>
      <c r="AJ19" s="3"/>
    </row>
    <row r="20" spans="1:36" ht="55.5" hidden="1" customHeight="1" x14ac:dyDescent="0.25">
      <c r="A20" s="590"/>
      <c r="B20" s="591"/>
      <c r="C20" s="61"/>
      <c r="D20" s="61"/>
      <c r="E20" s="61"/>
      <c r="F20" s="61"/>
      <c r="G20" s="231"/>
      <c r="H20" s="231"/>
      <c r="I20" s="231"/>
      <c r="J20" s="231">
        <f t="shared" si="1"/>
        <v>0</v>
      </c>
      <c r="K20" s="151">
        <f t="shared" si="2"/>
        <v>0</v>
      </c>
      <c r="L20" s="152">
        <f t="shared" si="3"/>
        <v>0</v>
      </c>
      <c r="M20" s="152"/>
      <c r="N20" s="153"/>
      <c r="O20" s="154">
        <f t="shared" si="4"/>
        <v>0</v>
      </c>
      <c r="P20" s="155"/>
      <c r="Z20" s="3"/>
      <c r="AA20" s="3"/>
      <c r="AB20" s="3"/>
      <c r="AC20" s="3"/>
      <c r="AD20" s="3"/>
      <c r="AE20" s="3"/>
      <c r="AF20" s="3"/>
      <c r="AG20" s="3"/>
      <c r="AH20" s="3"/>
      <c r="AI20" s="3"/>
      <c r="AJ20" s="3"/>
    </row>
    <row r="21" spans="1:36" ht="55.5" hidden="1" customHeight="1" x14ac:dyDescent="0.25">
      <c r="A21" s="590"/>
      <c r="B21" s="591"/>
      <c r="C21" s="61"/>
      <c r="D21" s="61"/>
      <c r="E21" s="61"/>
      <c r="F21" s="61"/>
      <c r="G21" s="231"/>
      <c r="H21" s="231"/>
      <c r="I21" s="231"/>
      <c r="J21" s="231">
        <f t="shared" si="1"/>
        <v>0</v>
      </c>
      <c r="K21" s="151">
        <f t="shared" si="2"/>
        <v>0</v>
      </c>
      <c r="L21" s="152">
        <f t="shared" si="3"/>
        <v>0</v>
      </c>
      <c r="M21" s="152"/>
      <c r="N21" s="153"/>
      <c r="O21" s="154">
        <f t="shared" si="4"/>
        <v>0</v>
      </c>
      <c r="P21" s="155"/>
      <c r="AA21" s="178"/>
    </row>
    <row r="22" spans="1:36" ht="55.5" hidden="1" customHeight="1" x14ac:dyDescent="0.25">
      <c r="A22" s="590"/>
      <c r="B22" s="591"/>
      <c r="C22" s="61"/>
      <c r="D22" s="61"/>
      <c r="E22" s="61"/>
      <c r="F22" s="61"/>
      <c r="G22" s="231"/>
      <c r="H22" s="231"/>
      <c r="I22" s="231"/>
      <c r="J22" s="231">
        <f t="shared" si="1"/>
        <v>0</v>
      </c>
      <c r="K22" s="151">
        <f t="shared" si="2"/>
        <v>0</v>
      </c>
      <c r="L22" s="152">
        <f t="shared" si="3"/>
        <v>0</v>
      </c>
      <c r="M22" s="152"/>
      <c r="N22" s="153"/>
      <c r="O22" s="154">
        <f t="shared" si="4"/>
        <v>0</v>
      </c>
      <c r="P22" s="155"/>
    </row>
    <row r="23" spans="1:36" ht="55.5" hidden="1" customHeight="1" x14ac:dyDescent="0.25">
      <c r="A23" s="590"/>
      <c r="B23" s="591"/>
      <c r="C23" s="61"/>
      <c r="D23" s="61"/>
      <c r="E23" s="61"/>
      <c r="F23" s="61"/>
      <c r="G23" s="231"/>
      <c r="H23" s="231"/>
      <c r="I23" s="231"/>
      <c r="J23" s="231">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234">
        <f>SUM(G14:G23)</f>
        <v>44000</v>
      </c>
      <c r="H24" s="234">
        <f t="shared" ref="H24:J24" si="5">SUM(H14:H23)</f>
        <v>1117.3499999999999</v>
      </c>
      <c r="I24" s="234">
        <f t="shared" si="5"/>
        <v>0</v>
      </c>
      <c r="J24" s="234">
        <f t="shared" si="5"/>
        <v>1117.3499999999999</v>
      </c>
      <c r="K24" s="156">
        <f>J24-G24</f>
        <v>-42882.65</v>
      </c>
      <c r="L24" s="156">
        <f t="shared" si="3"/>
        <v>-97.460568181818189</v>
      </c>
      <c r="M24" s="156"/>
      <c r="N24" s="157">
        <f>SUM(N14:N23)</f>
        <v>0</v>
      </c>
      <c r="O24" s="156">
        <f t="shared" si="4"/>
        <v>0</v>
      </c>
      <c r="P24" s="158"/>
    </row>
    <row r="25" spans="1:36" ht="19.5" x14ac:dyDescent="0.3">
      <c r="A25" s="1"/>
      <c r="B25" s="1"/>
      <c r="C25" s="1"/>
      <c r="D25" s="1"/>
      <c r="E25" s="1"/>
      <c r="F25" s="1"/>
      <c r="G25" s="235">
        <f>'Quadro Geral'!J19</f>
        <v>44000</v>
      </c>
      <c r="H25" s="235">
        <f>'Quadro Geral'!K19</f>
        <v>1117.3499999999999</v>
      </c>
      <c r="I25" s="235">
        <f>'Quadro Geral'!L19</f>
        <v>0</v>
      </c>
      <c r="J25" s="235">
        <f>'Quadro Geral'!M19</f>
        <v>1117.3499999999999</v>
      </c>
      <c r="K25" s="1"/>
      <c r="L25" s="1"/>
      <c r="M25" s="1"/>
      <c r="N25" s="1"/>
      <c r="O25" s="1"/>
      <c r="P25" s="1"/>
    </row>
    <row r="26" spans="1:36" x14ac:dyDescent="0.4">
      <c r="A26" s="306" t="s">
        <v>296</v>
      </c>
      <c r="B26" s="306"/>
      <c r="C26" s="306"/>
      <c r="D26" s="306"/>
      <c r="E26" s="306"/>
      <c r="F26" s="306"/>
      <c r="G26" s="306" t="b">
        <f>G24=G25</f>
        <v>1</v>
      </c>
      <c r="H26" s="306" t="b">
        <f t="shared" ref="H26:J26" si="6">H24=H25</f>
        <v>1</v>
      </c>
      <c r="I26" s="306" t="b">
        <f t="shared" si="6"/>
        <v>1</v>
      </c>
      <c r="J26" s="306" t="b">
        <f t="shared" si="6"/>
        <v>1</v>
      </c>
      <c r="K26" s="306"/>
      <c r="L26" s="306"/>
      <c r="M26" s="306"/>
      <c r="N26" s="306"/>
      <c r="O26" s="306"/>
      <c r="P26" s="306"/>
    </row>
    <row r="27" spans="1:36" ht="36" customHeight="1" x14ac:dyDescent="0.25">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t="15" hidden="1" x14ac:dyDescent="0.25">
      <c r="A36" s="598" t="s">
        <v>387</v>
      </c>
      <c r="B36" s="599"/>
      <c r="C36" s="599"/>
      <c r="D36" s="599"/>
      <c r="E36" s="599"/>
      <c r="F36" s="599"/>
      <c r="G36" s="599"/>
      <c r="H36" s="599"/>
      <c r="I36" s="599"/>
      <c r="J36" s="599"/>
      <c r="K36" s="599"/>
      <c r="L36" s="599"/>
      <c r="M36" s="599"/>
      <c r="N36" s="599"/>
      <c r="O36" s="599"/>
      <c r="P36" s="600"/>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1.5"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374.25" customHeight="1" thickBot="1" x14ac:dyDescent="0.3">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1">
    <mergeCell ref="A6:P6"/>
    <mergeCell ref="A7:P7"/>
    <mergeCell ref="A8:F8"/>
    <mergeCell ref="G8:P8"/>
    <mergeCell ref="A9:F9"/>
    <mergeCell ref="G9:P9"/>
    <mergeCell ref="A24:F24"/>
    <mergeCell ref="P11:P13"/>
    <mergeCell ref="C12:E12"/>
    <mergeCell ref="F12:F13"/>
    <mergeCell ref="G12:G13"/>
    <mergeCell ref="H12:J12"/>
    <mergeCell ref="K12:K13"/>
    <mergeCell ref="L12:L13"/>
    <mergeCell ref="N12:N13"/>
    <mergeCell ref="O12:O13"/>
    <mergeCell ref="N11:O11"/>
    <mergeCell ref="A11:B13"/>
    <mergeCell ref="C11:F11"/>
    <mergeCell ref="G11:J11"/>
    <mergeCell ref="K11:L11"/>
    <mergeCell ref="M11:M13"/>
    <mergeCell ref="A19:B19"/>
    <mergeCell ref="A20:B20"/>
    <mergeCell ref="A21:B21"/>
    <mergeCell ref="A22:B22"/>
    <mergeCell ref="A23:B23"/>
    <mergeCell ref="Q14:W14"/>
    <mergeCell ref="A15:B15"/>
    <mergeCell ref="A16:B16"/>
    <mergeCell ref="A17:B17"/>
    <mergeCell ref="A18:B18"/>
    <mergeCell ref="C33:F33"/>
    <mergeCell ref="A35:P35"/>
    <mergeCell ref="A36:P84"/>
    <mergeCell ref="A27:P27"/>
    <mergeCell ref="A28:P28"/>
    <mergeCell ref="A29:F29"/>
    <mergeCell ref="C30:F30"/>
    <mergeCell ref="C31:F31"/>
    <mergeCell ref="C32:F32"/>
  </mergeCells>
  <dataValidations count="2">
    <dataValidation type="list" allowBlank="1" showInputMessage="1" showErrorMessage="1" sqref="M15:M23">
      <formula1>$BA$13:$BA$16</formula1>
    </dataValidation>
    <dataValidation type="list" allowBlank="1" showInputMessage="1" showErrorMessage="1" sqref="BA13:BA15">
      <formula1>$BA$13:$BA$15</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'AÇÕES ESTRATÉGICAS - DESCRIÇÃO '!$C$2:$C$22</xm:f>
          </x14:formula1>
          <xm:sqref>E20:E23</xm:sqref>
        </x14:dataValidation>
        <x14:dataValidation type="list" allowBlank="1" showInputMessage="1" showErrorMessage="1">
          <x14:formula1>
            <xm:f>'[3]Ações Estratégicas - Descrição'!#REF!</xm:f>
          </x14:formula1>
          <xm:sqref>E15:E19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5:BA84"/>
  <sheetViews>
    <sheetView showGridLines="0" topLeftCell="G8" zoomScale="40" zoomScaleNormal="40" zoomScaleSheetLayoutView="80" workbookViewId="0">
      <selection activeCell="G8" sqref="G8:R8"/>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23.7109375" style="42" bestFit="1" customWidth="1"/>
    <col min="18" max="18" width="73.7109375" style="42" bestFit="1" customWidth="1"/>
    <col min="19"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4">
      <c r="A6" s="566" t="s">
        <v>380</v>
      </c>
      <c r="B6" s="566"/>
      <c r="C6" s="566"/>
      <c r="D6" s="566"/>
      <c r="E6" s="566"/>
      <c r="F6" s="566"/>
      <c r="G6" s="566"/>
      <c r="H6" s="566"/>
      <c r="I6" s="566"/>
      <c r="J6" s="566"/>
      <c r="K6" s="566"/>
      <c r="L6" s="566"/>
      <c r="M6" s="566"/>
      <c r="N6" s="566"/>
      <c r="O6" s="566"/>
      <c r="P6" s="566"/>
    </row>
    <row r="7" spans="1:53" ht="84" customHeight="1" x14ac:dyDescent="0.4">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614" t="str">
        <f>R8</f>
        <v>Fomento a ações que buscam promover melhorias da prática profissional</v>
      </c>
      <c r="H8" s="614"/>
      <c r="I8" s="614"/>
      <c r="J8" s="614"/>
      <c r="K8" s="614"/>
      <c r="L8" s="614"/>
      <c r="M8" s="614"/>
      <c r="N8" s="614"/>
      <c r="O8" s="614"/>
      <c r="P8" s="615"/>
      <c r="Q8" s="244" t="b">
        <f>G8='Quadro Geral'!E20</f>
        <v>1</v>
      </c>
      <c r="R8" s="244" t="str">
        <f>'Quadro Geral'!E20</f>
        <v>Fomento a ações que buscam promover melhorias da prática profissional</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526</v>
      </c>
      <c r="H9" s="570"/>
      <c r="I9" s="570"/>
      <c r="J9" s="570"/>
      <c r="K9" s="570"/>
      <c r="L9" s="570"/>
      <c r="M9" s="570"/>
      <c r="N9" s="570"/>
      <c r="O9" s="570"/>
      <c r="P9" s="571"/>
      <c r="Q9" s="244"/>
      <c r="R9" s="244"/>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c r="H10" s="177"/>
      <c r="I10" s="177"/>
      <c r="J10" s="177"/>
      <c r="K10" s="177"/>
      <c r="L10" s="177"/>
      <c r="M10" s="181"/>
      <c r="N10" s="177" t="s">
        <v>381</v>
      </c>
      <c r="O10" s="177"/>
      <c r="P10" s="177"/>
      <c r="Q10" s="244"/>
      <c r="R10" s="244"/>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198" t="s">
        <v>289</v>
      </c>
      <c r="D13" s="199" t="s">
        <v>288</v>
      </c>
      <c r="E13" s="130" t="s">
        <v>217</v>
      </c>
      <c r="F13" s="582"/>
      <c r="G13" s="582"/>
      <c r="H13" s="198" t="s">
        <v>373</v>
      </c>
      <c r="I13" s="198" t="s">
        <v>374</v>
      </c>
      <c r="J13" s="198"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131.25" x14ac:dyDescent="0.5">
      <c r="A15" s="590" t="s">
        <v>514</v>
      </c>
      <c r="B15" s="591"/>
      <c r="C15" s="200">
        <v>12</v>
      </c>
      <c r="D15" s="211" t="s">
        <v>629</v>
      </c>
      <c r="E15" s="61" t="s">
        <v>281</v>
      </c>
      <c r="F15" s="211" t="s">
        <v>491</v>
      </c>
      <c r="G15" s="210">
        <v>2500</v>
      </c>
      <c r="H15" s="231">
        <v>0</v>
      </c>
      <c r="I15" s="231">
        <v>0</v>
      </c>
      <c r="J15" s="231">
        <f>H15+I15</f>
        <v>0</v>
      </c>
      <c r="K15" s="151">
        <f>J15-G15</f>
        <v>-2500</v>
      </c>
      <c r="L15" s="152">
        <f>IFERROR(K15/G15*100,0)</f>
        <v>-100</v>
      </c>
      <c r="M15" s="152" t="s">
        <v>371</v>
      </c>
      <c r="N15" s="153"/>
      <c r="O15" s="154">
        <f>IFERROR(N15/J15*100,)</f>
        <v>0</v>
      </c>
      <c r="P15" s="61" t="s">
        <v>631</v>
      </c>
      <c r="Z15" s="3"/>
      <c r="AA15" s="118"/>
      <c r="AB15" s="116"/>
      <c r="AC15" s="116"/>
      <c r="AD15" s="116"/>
      <c r="AE15" s="116"/>
      <c r="AF15" s="116"/>
      <c r="AG15" s="3"/>
      <c r="AH15" s="3"/>
      <c r="AI15" s="3"/>
      <c r="AJ15" s="3"/>
      <c r="AZ15" s="188"/>
      <c r="BA15" s="188" t="s">
        <v>213</v>
      </c>
    </row>
    <row r="16" spans="1:53" ht="131.25" x14ac:dyDescent="0.5">
      <c r="A16" s="590" t="s">
        <v>514</v>
      </c>
      <c r="B16" s="591"/>
      <c r="C16" s="200">
        <v>12</v>
      </c>
      <c r="D16" s="116" t="s">
        <v>630</v>
      </c>
      <c r="E16" s="61" t="s">
        <v>281</v>
      </c>
      <c r="F16" s="116" t="s">
        <v>491</v>
      </c>
      <c r="G16" s="210">
        <v>2500</v>
      </c>
      <c r="H16" s="231">
        <v>0</v>
      </c>
      <c r="I16" s="231">
        <v>0</v>
      </c>
      <c r="J16" s="231">
        <f t="shared" ref="J16:J23" si="1">H16+I16</f>
        <v>0</v>
      </c>
      <c r="K16" s="151">
        <f t="shared" ref="K16:K22" si="2">J16-G16</f>
        <v>-2500</v>
      </c>
      <c r="L16" s="152">
        <f t="shared" ref="L16:L24" si="3">IFERROR(K16/G16*100,0)</f>
        <v>-100</v>
      </c>
      <c r="M16" s="152" t="s">
        <v>371</v>
      </c>
      <c r="N16" s="153"/>
      <c r="O16" s="154">
        <f t="shared" ref="O16:O24" si="4">IFERROR(N16/J16*100,)</f>
        <v>0</v>
      </c>
      <c r="P16" s="61" t="s">
        <v>631</v>
      </c>
      <c r="Z16" s="3"/>
      <c r="AA16" s="118"/>
      <c r="AB16" s="116"/>
      <c r="AC16" s="116"/>
      <c r="AD16" s="116"/>
      <c r="AE16" s="116"/>
      <c r="AF16" s="116"/>
      <c r="AG16" s="3"/>
      <c r="AH16" s="3"/>
      <c r="AI16" s="3"/>
      <c r="AJ16" s="3"/>
      <c r="AZ16" s="188"/>
      <c r="BA16" s="188" t="s">
        <v>371</v>
      </c>
    </row>
    <row r="17" spans="1:36" ht="28.5" hidden="1" x14ac:dyDescent="0.4">
      <c r="A17" s="590"/>
      <c r="B17" s="591"/>
      <c r="C17" s="200"/>
      <c r="D17" s="61"/>
      <c r="E17" s="61"/>
      <c r="F17" s="61"/>
      <c r="G17" s="231"/>
      <c r="H17" s="231"/>
      <c r="I17" s="231"/>
      <c r="J17" s="231">
        <f t="shared" si="1"/>
        <v>0</v>
      </c>
      <c r="K17" s="151">
        <f t="shared" si="2"/>
        <v>0</v>
      </c>
      <c r="L17" s="152">
        <f t="shared" si="3"/>
        <v>0</v>
      </c>
      <c r="M17" s="152" t="s">
        <v>371</v>
      </c>
      <c r="N17" s="153"/>
      <c r="O17" s="154">
        <f t="shared" si="4"/>
        <v>0</v>
      </c>
      <c r="P17" s="155"/>
      <c r="Z17" s="3"/>
      <c r="AA17" s="118"/>
      <c r="AB17" s="116"/>
      <c r="AC17" s="116"/>
      <c r="AD17" s="116"/>
      <c r="AE17" s="116"/>
      <c r="AF17" s="116"/>
      <c r="AG17" s="3"/>
      <c r="AH17" s="3"/>
      <c r="AI17" s="3"/>
      <c r="AJ17" s="3"/>
    </row>
    <row r="18" spans="1:36" ht="28.5" hidden="1" x14ac:dyDescent="0.4">
      <c r="A18" s="590"/>
      <c r="B18" s="591"/>
      <c r="C18" s="200"/>
      <c r="D18" s="61"/>
      <c r="E18" s="61"/>
      <c r="F18" s="61"/>
      <c r="G18" s="232"/>
      <c r="H18" s="231"/>
      <c r="I18" s="231"/>
      <c r="J18" s="231">
        <f t="shared" si="1"/>
        <v>0</v>
      </c>
      <c r="K18" s="151">
        <f t="shared" si="2"/>
        <v>0</v>
      </c>
      <c r="L18" s="152">
        <f t="shared" si="3"/>
        <v>0</v>
      </c>
      <c r="M18" s="152"/>
      <c r="N18" s="153"/>
      <c r="O18" s="154">
        <f t="shared" si="4"/>
        <v>0</v>
      </c>
      <c r="P18" s="155"/>
      <c r="Z18" s="3"/>
      <c r="AA18" s="118"/>
      <c r="AB18" s="116"/>
      <c r="AC18" s="116"/>
      <c r="AD18" s="116"/>
      <c r="AE18" s="116"/>
      <c r="AF18" s="116"/>
      <c r="AG18" s="3"/>
      <c r="AH18" s="3"/>
      <c r="AI18" s="3"/>
      <c r="AJ18" s="3"/>
    </row>
    <row r="19" spans="1:36" ht="28.5" hidden="1" x14ac:dyDescent="0.4">
      <c r="A19" s="590"/>
      <c r="B19" s="591"/>
      <c r="C19" s="200"/>
      <c r="D19" s="61"/>
      <c r="E19" s="61"/>
      <c r="F19" s="61"/>
      <c r="G19" s="233"/>
      <c r="H19" s="231"/>
      <c r="I19" s="231"/>
      <c r="J19" s="231">
        <f t="shared" si="1"/>
        <v>0</v>
      </c>
      <c r="K19" s="151">
        <f t="shared" si="2"/>
        <v>0</v>
      </c>
      <c r="L19" s="152">
        <f t="shared" si="3"/>
        <v>0</v>
      </c>
      <c r="M19" s="152"/>
      <c r="N19" s="153"/>
      <c r="O19" s="154">
        <f t="shared" si="4"/>
        <v>0</v>
      </c>
      <c r="P19" s="155"/>
      <c r="Z19" s="3"/>
      <c r="AA19" s="3"/>
      <c r="AB19" s="3"/>
      <c r="AC19" s="3"/>
      <c r="AD19" s="3"/>
      <c r="AE19" s="3"/>
      <c r="AF19" s="3"/>
      <c r="AG19" s="3"/>
      <c r="AH19" s="3"/>
      <c r="AI19" s="3"/>
      <c r="AJ19" s="3"/>
    </row>
    <row r="20" spans="1:36" ht="55.5" hidden="1" customHeight="1" x14ac:dyDescent="0.4">
      <c r="A20" s="590"/>
      <c r="B20" s="591"/>
      <c r="C20" s="61"/>
      <c r="D20" s="61"/>
      <c r="E20" s="61"/>
      <c r="F20" s="61"/>
      <c r="G20" s="231"/>
      <c r="H20" s="231"/>
      <c r="I20" s="231"/>
      <c r="J20" s="231">
        <f t="shared" si="1"/>
        <v>0</v>
      </c>
      <c r="K20" s="151">
        <f t="shared" si="2"/>
        <v>0</v>
      </c>
      <c r="L20" s="152">
        <f t="shared" si="3"/>
        <v>0</v>
      </c>
      <c r="M20" s="152"/>
      <c r="N20" s="153"/>
      <c r="O20" s="154">
        <f t="shared" si="4"/>
        <v>0</v>
      </c>
      <c r="P20" s="155"/>
      <c r="Z20" s="3"/>
      <c r="AA20" s="3"/>
      <c r="AB20" s="3"/>
      <c r="AC20" s="3"/>
      <c r="AD20" s="3"/>
      <c r="AE20" s="3"/>
      <c r="AF20" s="3"/>
      <c r="AG20" s="3"/>
      <c r="AH20" s="3"/>
      <c r="AI20" s="3"/>
      <c r="AJ20" s="3"/>
    </row>
    <row r="21" spans="1:36" ht="55.5" hidden="1" customHeight="1" x14ac:dyDescent="0.4">
      <c r="A21" s="590"/>
      <c r="B21" s="591"/>
      <c r="C21" s="61"/>
      <c r="D21" s="61"/>
      <c r="E21" s="61"/>
      <c r="F21" s="61"/>
      <c r="G21" s="231"/>
      <c r="H21" s="231"/>
      <c r="I21" s="231"/>
      <c r="J21" s="231">
        <f t="shared" si="1"/>
        <v>0</v>
      </c>
      <c r="K21" s="151">
        <f t="shared" si="2"/>
        <v>0</v>
      </c>
      <c r="L21" s="152">
        <f t="shared" si="3"/>
        <v>0</v>
      </c>
      <c r="M21" s="152"/>
      <c r="N21" s="153"/>
      <c r="O21" s="154">
        <f t="shared" si="4"/>
        <v>0</v>
      </c>
      <c r="P21" s="155"/>
      <c r="AA21" s="178"/>
    </row>
    <row r="22" spans="1:36" ht="55.5" hidden="1" customHeight="1" x14ac:dyDescent="0.4">
      <c r="A22" s="590"/>
      <c r="B22" s="591"/>
      <c r="C22" s="61"/>
      <c r="D22" s="61"/>
      <c r="E22" s="61"/>
      <c r="F22" s="61"/>
      <c r="G22" s="231"/>
      <c r="H22" s="231"/>
      <c r="I22" s="231"/>
      <c r="J22" s="231">
        <f t="shared" si="1"/>
        <v>0</v>
      </c>
      <c r="K22" s="151">
        <f t="shared" si="2"/>
        <v>0</v>
      </c>
      <c r="L22" s="152">
        <f t="shared" si="3"/>
        <v>0</v>
      </c>
      <c r="M22" s="152"/>
      <c r="N22" s="153"/>
      <c r="O22" s="154">
        <f t="shared" si="4"/>
        <v>0</v>
      </c>
      <c r="P22" s="155"/>
    </row>
    <row r="23" spans="1:36" ht="55.5" hidden="1" customHeight="1" x14ac:dyDescent="0.4">
      <c r="A23" s="590"/>
      <c r="B23" s="591"/>
      <c r="C23" s="61"/>
      <c r="D23" s="61"/>
      <c r="E23" s="61"/>
      <c r="F23" s="61"/>
      <c r="G23" s="231"/>
      <c r="H23" s="231"/>
      <c r="I23" s="231"/>
      <c r="J23" s="231">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234">
        <f>SUM(G14:G23)</f>
        <v>5000</v>
      </c>
      <c r="H24" s="234">
        <f>SUM(H14:H23)</f>
        <v>0</v>
      </c>
      <c r="I24" s="234">
        <f>SUM(I14:I23)</f>
        <v>0</v>
      </c>
      <c r="J24" s="234">
        <f>SUM(J14:J23)</f>
        <v>0</v>
      </c>
      <c r="K24" s="156">
        <f>J24-G24</f>
        <v>-5000</v>
      </c>
      <c r="L24" s="156">
        <f t="shared" si="3"/>
        <v>-100</v>
      </c>
      <c r="M24" s="156"/>
      <c r="N24" s="157">
        <f>SUM(N14:N23)</f>
        <v>0</v>
      </c>
      <c r="O24" s="156">
        <f t="shared" si="4"/>
        <v>0</v>
      </c>
      <c r="P24" s="158"/>
      <c r="Q24" s="310"/>
      <c r="R24" s="310"/>
    </row>
    <row r="25" spans="1:36" ht="28.5" x14ac:dyDescent="0.45">
      <c r="A25" s="1"/>
      <c r="B25" s="1"/>
      <c r="C25" s="1"/>
      <c r="D25" s="1"/>
      <c r="E25" s="1"/>
      <c r="F25" s="1"/>
      <c r="G25" s="309">
        <f>'Quadro Geral'!J20</f>
        <v>5000</v>
      </c>
      <c r="H25" s="309">
        <f>'Quadro Geral'!K20</f>
        <v>0</v>
      </c>
      <c r="I25" s="309">
        <f>'Quadro Geral'!L20</f>
        <v>0</v>
      </c>
      <c r="J25" s="309">
        <f>'Quadro Geral'!M20</f>
        <v>0</v>
      </c>
      <c r="K25" s="1"/>
      <c r="L25" s="1"/>
      <c r="M25" s="1"/>
      <c r="N25" s="1"/>
      <c r="O25" s="1"/>
      <c r="P25" s="1"/>
    </row>
    <row r="26" spans="1:36" x14ac:dyDescent="0.4">
      <c r="A26" s="306" t="s">
        <v>296</v>
      </c>
      <c r="B26" s="306"/>
      <c r="C26" s="306"/>
      <c r="D26" s="306"/>
      <c r="E26" s="306"/>
      <c r="F26" s="306"/>
      <c r="G26" s="306" t="b">
        <f>G24=G25</f>
        <v>1</v>
      </c>
      <c r="H26" s="306" t="b">
        <f t="shared" ref="H26:J26" si="5">H24=H25</f>
        <v>1</v>
      </c>
      <c r="I26" s="306" t="b">
        <f t="shared" si="5"/>
        <v>1</v>
      </c>
      <c r="J26" s="306" t="b">
        <f t="shared" si="5"/>
        <v>1</v>
      </c>
      <c r="K26" s="306"/>
      <c r="L26" s="306"/>
      <c r="M26" s="306"/>
      <c r="N26" s="306"/>
      <c r="O26" s="306"/>
      <c r="P26" s="306"/>
    </row>
    <row r="27" spans="1:36" ht="36" customHeight="1" x14ac:dyDescent="0.4">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idden="1" x14ac:dyDescent="0.4">
      <c r="A36" s="598" t="s">
        <v>387</v>
      </c>
      <c r="B36" s="599"/>
      <c r="C36" s="599"/>
      <c r="D36" s="599"/>
      <c r="E36" s="599"/>
      <c r="F36" s="599"/>
      <c r="G36" s="599"/>
      <c r="H36" s="599"/>
      <c r="I36" s="599"/>
      <c r="J36" s="599"/>
      <c r="K36" s="599"/>
      <c r="L36" s="599"/>
      <c r="M36" s="599"/>
      <c r="N36" s="599"/>
      <c r="O36" s="599"/>
      <c r="P36" s="600"/>
    </row>
    <row r="37" spans="1:20" hidden="1" x14ac:dyDescent="0.4">
      <c r="A37" s="601"/>
      <c r="B37" s="602"/>
      <c r="C37" s="602"/>
      <c r="D37" s="602"/>
      <c r="E37" s="602"/>
      <c r="F37" s="602"/>
      <c r="G37" s="602"/>
      <c r="H37" s="602"/>
      <c r="I37" s="602"/>
      <c r="J37" s="602"/>
      <c r="K37" s="602"/>
      <c r="L37" s="602"/>
      <c r="M37" s="602"/>
      <c r="N37" s="602"/>
      <c r="O37" s="602"/>
      <c r="P37" s="603"/>
    </row>
    <row r="38" spans="1:20" hidden="1" x14ac:dyDescent="0.4">
      <c r="A38" s="601"/>
      <c r="B38" s="602"/>
      <c r="C38" s="602"/>
      <c r="D38" s="602"/>
      <c r="E38" s="602"/>
      <c r="F38" s="602"/>
      <c r="G38" s="602"/>
      <c r="H38" s="602"/>
      <c r="I38" s="602"/>
      <c r="J38" s="602"/>
      <c r="K38" s="602"/>
      <c r="L38" s="602"/>
      <c r="M38" s="602"/>
      <c r="N38" s="602"/>
      <c r="O38" s="602"/>
      <c r="P38" s="603"/>
    </row>
    <row r="39" spans="1:20" hidden="1" x14ac:dyDescent="0.4">
      <c r="A39" s="601"/>
      <c r="B39" s="602"/>
      <c r="C39" s="602"/>
      <c r="D39" s="602"/>
      <c r="E39" s="602"/>
      <c r="F39" s="602"/>
      <c r="G39" s="602"/>
      <c r="H39" s="602"/>
      <c r="I39" s="602"/>
      <c r="J39" s="602"/>
      <c r="K39" s="602"/>
      <c r="L39" s="602"/>
      <c r="M39" s="602"/>
      <c r="N39" s="602"/>
      <c r="O39" s="602"/>
      <c r="P39" s="603"/>
    </row>
    <row r="40" spans="1:20" hidden="1" x14ac:dyDescent="0.4">
      <c r="A40" s="601"/>
      <c r="B40" s="602"/>
      <c r="C40" s="602"/>
      <c r="D40" s="602"/>
      <c r="E40" s="602"/>
      <c r="F40" s="602"/>
      <c r="G40" s="602"/>
      <c r="H40" s="602"/>
      <c r="I40" s="602"/>
      <c r="J40" s="602"/>
      <c r="K40" s="602"/>
      <c r="L40" s="602"/>
      <c r="M40" s="602"/>
      <c r="N40" s="602"/>
      <c r="O40" s="602"/>
      <c r="P40" s="603"/>
    </row>
    <row r="41" spans="1:20" hidden="1" x14ac:dyDescent="0.4">
      <c r="A41" s="601"/>
      <c r="B41" s="602"/>
      <c r="C41" s="602"/>
      <c r="D41" s="602"/>
      <c r="E41" s="602"/>
      <c r="F41" s="602"/>
      <c r="G41" s="602"/>
      <c r="H41" s="602"/>
      <c r="I41" s="602"/>
      <c r="J41" s="602"/>
      <c r="K41" s="602"/>
      <c r="L41" s="602"/>
      <c r="M41" s="602"/>
      <c r="N41" s="602"/>
      <c r="O41" s="602"/>
      <c r="P41" s="603"/>
    </row>
    <row r="42" spans="1:20" hidden="1" x14ac:dyDescent="0.4">
      <c r="A42" s="601"/>
      <c r="B42" s="602"/>
      <c r="C42" s="602"/>
      <c r="D42" s="602"/>
      <c r="E42" s="602"/>
      <c r="F42" s="602"/>
      <c r="G42" s="602"/>
      <c r="H42" s="602"/>
      <c r="I42" s="602"/>
      <c r="J42" s="602"/>
      <c r="K42" s="602"/>
      <c r="L42" s="602"/>
      <c r="M42" s="602"/>
      <c r="N42" s="602"/>
      <c r="O42" s="602"/>
      <c r="P42" s="603"/>
    </row>
    <row r="43" spans="1:20" hidden="1" x14ac:dyDescent="0.4">
      <c r="A43" s="601"/>
      <c r="B43" s="602"/>
      <c r="C43" s="602"/>
      <c r="D43" s="602"/>
      <c r="E43" s="602"/>
      <c r="F43" s="602"/>
      <c r="G43" s="602"/>
      <c r="H43" s="602"/>
      <c r="I43" s="602"/>
      <c r="J43" s="602"/>
      <c r="K43" s="602"/>
      <c r="L43" s="602"/>
      <c r="M43" s="602"/>
      <c r="N43" s="602"/>
      <c r="O43" s="602"/>
      <c r="P43" s="603"/>
    </row>
    <row r="44" spans="1:20" hidden="1" x14ac:dyDescent="0.4">
      <c r="A44" s="601"/>
      <c r="B44" s="602"/>
      <c r="C44" s="602"/>
      <c r="D44" s="602"/>
      <c r="E44" s="602"/>
      <c r="F44" s="602"/>
      <c r="G44" s="602"/>
      <c r="H44" s="602"/>
      <c r="I44" s="602"/>
      <c r="J44" s="602"/>
      <c r="K44" s="602"/>
      <c r="L44" s="602"/>
      <c r="M44" s="602"/>
      <c r="N44" s="602"/>
      <c r="O44" s="602"/>
      <c r="P44" s="603"/>
    </row>
    <row r="45" spans="1:20" ht="26.25" hidden="1" customHeight="1" x14ac:dyDescent="0.4">
      <c r="A45" s="601"/>
      <c r="B45" s="602"/>
      <c r="C45" s="602"/>
      <c r="D45" s="602"/>
      <c r="E45" s="602"/>
      <c r="F45" s="602"/>
      <c r="G45" s="602"/>
      <c r="H45" s="602"/>
      <c r="I45" s="602"/>
      <c r="J45" s="602"/>
      <c r="K45" s="602"/>
      <c r="L45" s="602"/>
      <c r="M45" s="602"/>
      <c r="N45" s="602"/>
      <c r="O45" s="602"/>
      <c r="P45" s="603"/>
    </row>
    <row r="46" spans="1:20" ht="26.25" hidden="1" customHeight="1" x14ac:dyDescent="0.4">
      <c r="A46" s="601"/>
      <c r="B46" s="602"/>
      <c r="C46" s="602"/>
      <c r="D46" s="602"/>
      <c r="E46" s="602"/>
      <c r="F46" s="602"/>
      <c r="G46" s="602"/>
      <c r="H46" s="602"/>
      <c r="I46" s="602"/>
      <c r="J46" s="602"/>
      <c r="K46" s="602"/>
      <c r="L46" s="602"/>
      <c r="M46" s="602"/>
      <c r="N46" s="602"/>
      <c r="O46" s="602"/>
      <c r="P46" s="603"/>
    </row>
    <row r="47" spans="1:20" ht="26.25" hidden="1" customHeight="1" x14ac:dyDescent="0.4">
      <c r="A47" s="601"/>
      <c r="B47" s="602"/>
      <c r="C47" s="602"/>
      <c r="D47" s="602"/>
      <c r="E47" s="602"/>
      <c r="F47" s="602"/>
      <c r="G47" s="602"/>
      <c r="H47" s="602"/>
      <c r="I47" s="602"/>
      <c r="J47" s="602"/>
      <c r="K47" s="602"/>
      <c r="L47" s="602"/>
      <c r="M47" s="602"/>
      <c r="N47" s="602"/>
      <c r="O47" s="602"/>
      <c r="P47" s="603"/>
    </row>
    <row r="48" spans="1:20" ht="26.25" hidden="1" customHeight="1" x14ac:dyDescent="0.4">
      <c r="A48" s="601"/>
      <c r="B48" s="602"/>
      <c r="C48" s="602"/>
      <c r="D48" s="602"/>
      <c r="E48" s="602"/>
      <c r="F48" s="602"/>
      <c r="G48" s="602"/>
      <c r="H48" s="602"/>
      <c r="I48" s="602"/>
      <c r="J48" s="602"/>
      <c r="K48" s="602"/>
      <c r="L48" s="602"/>
      <c r="M48" s="602"/>
      <c r="N48" s="602"/>
      <c r="O48" s="602"/>
      <c r="P48" s="603"/>
    </row>
    <row r="49" spans="1:16" ht="26.25" hidden="1" customHeight="1" x14ac:dyDescent="0.4">
      <c r="A49" s="601"/>
      <c r="B49" s="602"/>
      <c r="C49" s="602"/>
      <c r="D49" s="602"/>
      <c r="E49" s="602"/>
      <c r="F49" s="602"/>
      <c r="G49" s="602"/>
      <c r="H49" s="602"/>
      <c r="I49" s="602"/>
      <c r="J49" s="602"/>
      <c r="K49" s="602"/>
      <c r="L49" s="602"/>
      <c r="M49" s="602"/>
      <c r="N49" s="602"/>
      <c r="O49" s="602"/>
      <c r="P49" s="603"/>
    </row>
    <row r="50" spans="1:16" ht="26.25" hidden="1" customHeight="1" x14ac:dyDescent="0.4">
      <c r="A50" s="601"/>
      <c r="B50" s="602"/>
      <c r="C50" s="602"/>
      <c r="D50" s="602"/>
      <c r="E50" s="602"/>
      <c r="F50" s="602"/>
      <c r="G50" s="602"/>
      <c r="H50" s="602"/>
      <c r="I50" s="602"/>
      <c r="J50" s="602"/>
      <c r="K50" s="602"/>
      <c r="L50" s="602"/>
      <c r="M50" s="602"/>
      <c r="N50" s="602"/>
      <c r="O50" s="602"/>
      <c r="P50" s="603"/>
    </row>
    <row r="51" spans="1:16" ht="26.25" hidden="1" customHeight="1" x14ac:dyDescent="0.4">
      <c r="A51" s="601"/>
      <c r="B51" s="602"/>
      <c r="C51" s="602"/>
      <c r="D51" s="602"/>
      <c r="E51" s="602"/>
      <c r="F51" s="602"/>
      <c r="G51" s="602"/>
      <c r="H51" s="602"/>
      <c r="I51" s="602"/>
      <c r="J51" s="602"/>
      <c r="K51" s="602"/>
      <c r="L51" s="602"/>
      <c r="M51" s="602"/>
      <c r="N51" s="602"/>
      <c r="O51" s="602"/>
      <c r="P51" s="603"/>
    </row>
    <row r="52" spans="1:16" ht="26.25" hidden="1" customHeight="1" x14ac:dyDescent="0.4">
      <c r="A52" s="601"/>
      <c r="B52" s="602"/>
      <c r="C52" s="602"/>
      <c r="D52" s="602"/>
      <c r="E52" s="602"/>
      <c r="F52" s="602"/>
      <c r="G52" s="602"/>
      <c r="H52" s="602"/>
      <c r="I52" s="602"/>
      <c r="J52" s="602"/>
      <c r="K52" s="602"/>
      <c r="L52" s="602"/>
      <c r="M52" s="602"/>
      <c r="N52" s="602"/>
      <c r="O52" s="602"/>
      <c r="P52" s="603"/>
    </row>
    <row r="53" spans="1:16" ht="26.25" hidden="1" customHeight="1" x14ac:dyDescent="0.4">
      <c r="A53" s="601"/>
      <c r="B53" s="602"/>
      <c r="C53" s="602"/>
      <c r="D53" s="602"/>
      <c r="E53" s="602"/>
      <c r="F53" s="602"/>
      <c r="G53" s="602"/>
      <c r="H53" s="602"/>
      <c r="I53" s="602"/>
      <c r="J53" s="602"/>
      <c r="K53" s="602"/>
      <c r="L53" s="602"/>
      <c r="M53" s="602"/>
      <c r="N53" s="602"/>
      <c r="O53" s="602"/>
      <c r="P53" s="603"/>
    </row>
    <row r="54" spans="1:16" ht="26.25" hidden="1" customHeight="1" x14ac:dyDescent="0.4">
      <c r="A54" s="601"/>
      <c r="B54" s="602"/>
      <c r="C54" s="602"/>
      <c r="D54" s="602"/>
      <c r="E54" s="602"/>
      <c r="F54" s="602"/>
      <c r="G54" s="602"/>
      <c r="H54" s="602"/>
      <c r="I54" s="602"/>
      <c r="J54" s="602"/>
      <c r="K54" s="602"/>
      <c r="L54" s="602"/>
      <c r="M54" s="602"/>
      <c r="N54" s="602"/>
      <c r="O54" s="602"/>
      <c r="P54" s="603"/>
    </row>
    <row r="55" spans="1:16" ht="26.25" hidden="1" customHeight="1" x14ac:dyDescent="0.4">
      <c r="A55" s="601"/>
      <c r="B55" s="602"/>
      <c r="C55" s="602"/>
      <c r="D55" s="602"/>
      <c r="E55" s="602"/>
      <c r="F55" s="602"/>
      <c r="G55" s="602"/>
      <c r="H55" s="602"/>
      <c r="I55" s="602"/>
      <c r="J55" s="602"/>
      <c r="K55" s="602"/>
      <c r="L55" s="602"/>
      <c r="M55" s="602"/>
      <c r="N55" s="602"/>
      <c r="O55" s="602"/>
      <c r="P55" s="603"/>
    </row>
    <row r="56" spans="1:16" ht="26.25" customHeight="1" x14ac:dyDescent="0.4">
      <c r="A56" s="601"/>
      <c r="B56" s="602"/>
      <c r="C56" s="602"/>
      <c r="D56" s="602"/>
      <c r="E56" s="602"/>
      <c r="F56" s="602"/>
      <c r="G56" s="602"/>
      <c r="H56" s="602"/>
      <c r="I56" s="602"/>
      <c r="J56" s="602"/>
      <c r="K56" s="602"/>
      <c r="L56" s="602"/>
      <c r="M56" s="602"/>
      <c r="N56" s="602"/>
      <c r="O56" s="602"/>
      <c r="P56" s="603"/>
    </row>
    <row r="57" spans="1:16" ht="26.25" customHeight="1" x14ac:dyDescent="0.4">
      <c r="A57" s="601"/>
      <c r="B57" s="602"/>
      <c r="C57" s="602"/>
      <c r="D57" s="602"/>
      <c r="E57" s="602"/>
      <c r="F57" s="602"/>
      <c r="G57" s="602"/>
      <c r="H57" s="602"/>
      <c r="I57" s="602"/>
      <c r="J57" s="602"/>
      <c r="K57" s="602"/>
      <c r="L57" s="602"/>
      <c r="M57" s="602"/>
      <c r="N57" s="602"/>
      <c r="O57" s="602"/>
      <c r="P57" s="603"/>
    </row>
    <row r="58" spans="1:16" ht="26.25" customHeight="1" x14ac:dyDescent="0.4">
      <c r="A58" s="601"/>
      <c r="B58" s="602"/>
      <c r="C58" s="602"/>
      <c r="D58" s="602"/>
      <c r="E58" s="602"/>
      <c r="F58" s="602"/>
      <c r="G58" s="602"/>
      <c r="H58" s="602"/>
      <c r="I58" s="602"/>
      <c r="J58" s="602"/>
      <c r="K58" s="602"/>
      <c r="L58" s="602"/>
      <c r="M58" s="602"/>
      <c r="N58" s="602"/>
      <c r="O58" s="602"/>
      <c r="P58" s="603"/>
    </row>
    <row r="59" spans="1:16" ht="26.25" customHeight="1" x14ac:dyDescent="0.4">
      <c r="A59" s="601"/>
      <c r="B59" s="602"/>
      <c r="C59" s="602"/>
      <c r="D59" s="602"/>
      <c r="E59" s="602"/>
      <c r="F59" s="602"/>
      <c r="G59" s="602"/>
      <c r="H59" s="602"/>
      <c r="I59" s="602"/>
      <c r="J59" s="602"/>
      <c r="K59" s="602"/>
      <c r="L59" s="602"/>
      <c r="M59" s="602"/>
      <c r="N59" s="602"/>
      <c r="O59" s="602"/>
      <c r="P59" s="603"/>
    </row>
    <row r="60" spans="1:16" ht="26.25" customHeight="1" x14ac:dyDescent="0.4">
      <c r="A60" s="601"/>
      <c r="B60" s="602"/>
      <c r="C60" s="602"/>
      <c r="D60" s="602"/>
      <c r="E60" s="602"/>
      <c r="F60" s="602"/>
      <c r="G60" s="602"/>
      <c r="H60" s="602"/>
      <c r="I60" s="602"/>
      <c r="J60" s="602"/>
      <c r="K60" s="602"/>
      <c r="L60" s="602"/>
      <c r="M60" s="602"/>
      <c r="N60" s="602"/>
      <c r="O60" s="602"/>
      <c r="P60" s="603"/>
    </row>
    <row r="61" spans="1:16" ht="26.25" customHeight="1" x14ac:dyDescent="0.4">
      <c r="A61" s="601"/>
      <c r="B61" s="602"/>
      <c r="C61" s="602"/>
      <c r="D61" s="602"/>
      <c r="E61" s="602"/>
      <c r="F61" s="602"/>
      <c r="G61" s="602"/>
      <c r="H61" s="602"/>
      <c r="I61" s="602"/>
      <c r="J61" s="602"/>
      <c r="K61" s="602"/>
      <c r="L61" s="602"/>
      <c r="M61" s="602"/>
      <c r="N61" s="602"/>
      <c r="O61" s="602"/>
      <c r="P61" s="603"/>
    </row>
    <row r="62" spans="1:16" ht="26.25" customHeight="1" x14ac:dyDescent="0.4">
      <c r="A62" s="601"/>
      <c r="B62" s="602"/>
      <c r="C62" s="602"/>
      <c r="D62" s="602"/>
      <c r="E62" s="602"/>
      <c r="F62" s="602"/>
      <c r="G62" s="602"/>
      <c r="H62" s="602"/>
      <c r="I62" s="602"/>
      <c r="J62" s="602"/>
      <c r="K62" s="602"/>
      <c r="L62" s="602"/>
      <c r="M62" s="602"/>
      <c r="N62" s="602"/>
      <c r="O62" s="602"/>
      <c r="P62" s="603"/>
    </row>
    <row r="63" spans="1:16" ht="26.25" customHeight="1" x14ac:dyDescent="0.4">
      <c r="A63" s="601"/>
      <c r="B63" s="602"/>
      <c r="C63" s="602"/>
      <c r="D63" s="602"/>
      <c r="E63" s="602"/>
      <c r="F63" s="602"/>
      <c r="G63" s="602"/>
      <c r="H63" s="602"/>
      <c r="I63" s="602"/>
      <c r="J63" s="602"/>
      <c r="K63" s="602"/>
      <c r="L63" s="602"/>
      <c r="M63" s="602"/>
      <c r="N63" s="602"/>
      <c r="O63" s="602"/>
      <c r="P63" s="603"/>
    </row>
    <row r="64" spans="1:16" ht="26.25" customHeight="1" x14ac:dyDescent="0.4">
      <c r="A64" s="601"/>
      <c r="B64" s="602"/>
      <c r="C64" s="602"/>
      <c r="D64" s="602"/>
      <c r="E64" s="602"/>
      <c r="F64" s="602"/>
      <c r="G64" s="602"/>
      <c r="H64" s="602"/>
      <c r="I64" s="602"/>
      <c r="J64" s="602"/>
      <c r="K64" s="602"/>
      <c r="L64" s="602"/>
      <c r="M64" s="602"/>
      <c r="N64" s="602"/>
      <c r="O64" s="602"/>
      <c r="P64" s="603"/>
    </row>
    <row r="65" spans="1:16" ht="26.25" customHeight="1" x14ac:dyDescent="0.4">
      <c r="A65" s="601"/>
      <c r="B65" s="602"/>
      <c r="C65" s="602"/>
      <c r="D65" s="602"/>
      <c r="E65" s="602"/>
      <c r="F65" s="602"/>
      <c r="G65" s="602"/>
      <c r="H65" s="602"/>
      <c r="I65" s="602"/>
      <c r="J65" s="602"/>
      <c r="K65" s="602"/>
      <c r="L65" s="602"/>
      <c r="M65" s="602"/>
      <c r="N65" s="602"/>
      <c r="O65" s="602"/>
      <c r="P65" s="603"/>
    </row>
    <row r="66" spans="1:16" ht="26.25" customHeight="1" x14ac:dyDescent="0.4">
      <c r="A66" s="601"/>
      <c r="B66" s="602"/>
      <c r="C66" s="602"/>
      <c r="D66" s="602"/>
      <c r="E66" s="602"/>
      <c r="F66" s="602"/>
      <c r="G66" s="602"/>
      <c r="H66" s="602"/>
      <c r="I66" s="602"/>
      <c r="J66" s="602"/>
      <c r="K66" s="602"/>
      <c r="L66" s="602"/>
      <c r="M66" s="602"/>
      <c r="N66" s="602"/>
      <c r="O66" s="602"/>
      <c r="P66" s="603"/>
    </row>
    <row r="67" spans="1:16" ht="26.25" customHeight="1" x14ac:dyDescent="0.4">
      <c r="A67" s="601"/>
      <c r="B67" s="602"/>
      <c r="C67" s="602"/>
      <c r="D67" s="602"/>
      <c r="E67" s="602"/>
      <c r="F67" s="602"/>
      <c r="G67" s="602"/>
      <c r="H67" s="602"/>
      <c r="I67" s="602"/>
      <c r="J67" s="602"/>
      <c r="K67" s="602"/>
      <c r="L67" s="602"/>
      <c r="M67" s="602"/>
      <c r="N67" s="602"/>
      <c r="O67" s="602"/>
      <c r="P67" s="603"/>
    </row>
    <row r="68" spans="1:16" ht="26.25" customHeight="1" x14ac:dyDescent="0.4">
      <c r="A68" s="601"/>
      <c r="B68" s="602"/>
      <c r="C68" s="602"/>
      <c r="D68" s="602"/>
      <c r="E68" s="602"/>
      <c r="F68" s="602"/>
      <c r="G68" s="602"/>
      <c r="H68" s="602"/>
      <c r="I68" s="602"/>
      <c r="J68" s="602"/>
      <c r="K68" s="602"/>
      <c r="L68" s="602"/>
      <c r="M68" s="602"/>
      <c r="N68" s="602"/>
      <c r="O68" s="602"/>
      <c r="P68" s="603"/>
    </row>
    <row r="69" spans="1:16" ht="26.25" customHeight="1" x14ac:dyDescent="0.4">
      <c r="A69" s="601"/>
      <c r="B69" s="602"/>
      <c r="C69" s="602"/>
      <c r="D69" s="602"/>
      <c r="E69" s="602"/>
      <c r="F69" s="602"/>
      <c r="G69" s="602"/>
      <c r="H69" s="602"/>
      <c r="I69" s="602"/>
      <c r="J69" s="602"/>
      <c r="K69" s="602"/>
      <c r="L69" s="602"/>
      <c r="M69" s="602"/>
      <c r="N69" s="602"/>
      <c r="O69" s="602"/>
      <c r="P69" s="603"/>
    </row>
    <row r="70" spans="1:16" ht="26.25" customHeight="1" x14ac:dyDescent="0.4">
      <c r="A70" s="601"/>
      <c r="B70" s="602"/>
      <c r="C70" s="602"/>
      <c r="D70" s="602"/>
      <c r="E70" s="602"/>
      <c r="F70" s="602"/>
      <c r="G70" s="602"/>
      <c r="H70" s="602"/>
      <c r="I70" s="602"/>
      <c r="J70" s="602"/>
      <c r="K70" s="602"/>
      <c r="L70" s="602"/>
      <c r="M70" s="602"/>
      <c r="N70" s="602"/>
      <c r="O70" s="602"/>
      <c r="P70" s="603"/>
    </row>
    <row r="71" spans="1:16" ht="1.5" customHeight="1" x14ac:dyDescent="0.4">
      <c r="A71" s="601"/>
      <c r="B71" s="602"/>
      <c r="C71" s="602"/>
      <c r="D71" s="602"/>
      <c r="E71" s="602"/>
      <c r="F71" s="602"/>
      <c r="G71" s="602"/>
      <c r="H71" s="602"/>
      <c r="I71" s="602"/>
      <c r="J71" s="602"/>
      <c r="K71" s="602"/>
      <c r="L71" s="602"/>
      <c r="M71" s="602"/>
      <c r="N71" s="602"/>
      <c r="O71" s="602"/>
      <c r="P71" s="603"/>
    </row>
    <row r="72" spans="1:16" ht="26.25" hidden="1" customHeight="1" x14ac:dyDescent="0.4">
      <c r="A72" s="601"/>
      <c r="B72" s="602"/>
      <c r="C72" s="602"/>
      <c r="D72" s="602"/>
      <c r="E72" s="602"/>
      <c r="F72" s="602"/>
      <c r="G72" s="602"/>
      <c r="H72" s="602"/>
      <c r="I72" s="602"/>
      <c r="J72" s="602"/>
      <c r="K72" s="602"/>
      <c r="L72" s="602"/>
      <c r="M72" s="602"/>
      <c r="N72" s="602"/>
      <c r="O72" s="602"/>
      <c r="P72" s="603"/>
    </row>
    <row r="73" spans="1:16" ht="26.25" hidden="1" customHeight="1" x14ac:dyDescent="0.4">
      <c r="A73" s="601"/>
      <c r="B73" s="602"/>
      <c r="C73" s="602"/>
      <c r="D73" s="602"/>
      <c r="E73" s="602"/>
      <c r="F73" s="602"/>
      <c r="G73" s="602"/>
      <c r="H73" s="602"/>
      <c r="I73" s="602"/>
      <c r="J73" s="602"/>
      <c r="K73" s="602"/>
      <c r="L73" s="602"/>
      <c r="M73" s="602"/>
      <c r="N73" s="602"/>
      <c r="O73" s="602"/>
      <c r="P73" s="603"/>
    </row>
    <row r="74" spans="1:16" ht="26.25" hidden="1" customHeight="1" x14ac:dyDescent="0.4">
      <c r="A74" s="601"/>
      <c r="B74" s="602"/>
      <c r="C74" s="602"/>
      <c r="D74" s="602"/>
      <c r="E74" s="602"/>
      <c r="F74" s="602"/>
      <c r="G74" s="602"/>
      <c r="H74" s="602"/>
      <c r="I74" s="602"/>
      <c r="J74" s="602"/>
      <c r="K74" s="602"/>
      <c r="L74" s="602"/>
      <c r="M74" s="602"/>
      <c r="N74" s="602"/>
      <c r="O74" s="602"/>
      <c r="P74" s="603"/>
    </row>
    <row r="75" spans="1:16" ht="26.25" hidden="1" customHeight="1" x14ac:dyDescent="0.4">
      <c r="A75" s="601"/>
      <c r="B75" s="602"/>
      <c r="C75" s="602"/>
      <c r="D75" s="602"/>
      <c r="E75" s="602"/>
      <c r="F75" s="602"/>
      <c r="G75" s="602"/>
      <c r="H75" s="602"/>
      <c r="I75" s="602"/>
      <c r="J75" s="602"/>
      <c r="K75" s="602"/>
      <c r="L75" s="602"/>
      <c r="M75" s="602"/>
      <c r="N75" s="602"/>
      <c r="O75" s="602"/>
      <c r="P75" s="603"/>
    </row>
    <row r="76" spans="1:16" ht="26.25" hidden="1" customHeight="1" x14ac:dyDescent="0.4">
      <c r="A76" s="601"/>
      <c r="B76" s="602"/>
      <c r="C76" s="602"/>
      <c r="D76" s="602"/>
      <c r="E76" s="602"/>
      <c r="F76" s="602"/>
      <c r="G76" s="602"/>
      <c r="H76" s="602"/>
      <c r="I76" s="602"/>
      <c r="J76" s="602"/>
      <c r="K76" s="602"/>
      <c r="L76" s="602"/>
      <c r="M76" s="602"/>
      <c r="N76" s="602"/>
      <c r="O76" s="602"/>
      <c r="P76" s="603"/>
    </row>
    <row r="77" spans="1:16" ht="26.25" hidden="1" customHeight="1" x14ac:dyDescent="0.4">
      <c r="A77" s="601"/>
      <c r="B77" s="602"/>
      <c r="C77" s="602"/>
      <c r="D77" s="602"/>
      <c r="E77" s="602"/>
      <c r="F77" s="602"/>
      <c r="G77" s="602"/>
      <c r="H77" s="602"/>
      <c r="I77" s="602"/>
      <c r="J77" s="602"/>
      <c r="K77" s="602"/>
      <c r="L77" s="602"/>
      <c r="M77" s="602"/>
      <c r="N77" s="602"/>
      <c r="O77" s="602"/>
      <c r="P77" s="603"/>
    </row>
    <row r="78" spans="1:16" ht="26.25" hidden="1" customHeight="1" x14ac:dyDescent="0.4">
      <c r="A78" s="601"/>
      <c r="B78" s="602"/>
      <c r="C78" s="602"/>
      <c r="D78" s="602"/>
      <c r="E78" s="602"/>
      <c r="F78" s="602"/>
      <c r="G78" s="602"/>
      <c r="H78" s="602"/>
      <c r="I78" s="602"/>
      <c r="J78" s="602"/>
      <c r="K78" s="602"/>
      <c r="L78" s="602"/>
      <c r="M78" s="602"/>
      <c r="N78" s="602"/>
      <c r="O78" s="602"/>
      <c r="P78" s="603"/>
    </row>
    <row r="79" spans="1:16" ht="26.25" hidden="1" customHeight="1" x14ac:dyDescent="0.4">
      <c r="A79" s="601"/>
      <c r="B79" s="602"/>
      <c r="C79" s="602"/>
      <c r="D79" s="602"/>
      <c r="E79" s="602"/>
      <c r="F79" s="602"/>
      <c r="G79" s="602"/>
      <c r="H79" s="602"/>
      <c r="I79" s="602"/>
      <c r="J79" s="602"/>
      <c r="K79" s="602"/>
      <c r="L79" s="602"/>
      <c r="M79" s="602"/>
      <c r="N79" s="602"/>
      <c r="O79" s="602"/>
      <c r="P79" s="603"/>
    </row>
    <row r="80" spans="1:16" ht="26.25" hidden="1" customHeight="1" x14ac:dyDescent="0.4">
      <c r="A80" s="601"/>
      <c r="B80" s="602"/>
      <c r="C80" s="602"/>
      <c r="D80" s="602"/>
      <c r="E80" s="602"/>
      <c r="F80" s="602"/>
      <c r="G80" s="602"/>
      <c r="H80" s="602"/>
      <c r="I80" s="602"/>
      <c r="J80" s="602"/>
      <c r="K80" s="602"/>
      <c r="L80" s="602"/>
      <c r="M80" s="602"/>
      <c r="N80" s="602"/>
      <c r="O80" s="602"/>
      <c r="P80" s="603"/>
    </row>
    <row r="81" spans="1:16" ht="26.25" hidden="1" customHeight="1" x14ac:dyDescent="0.4">
      <c r="A81" s="601"/>
      <c r="B81" s="602"/>
      <c r="C81" s="602"/>
      <c r="D81" s="602"/>
      <c r="E81" s="602"/>
      <c r="F81" s="602"/>
      <c r="G81" s="602"/>
      <c r="H81" s="602"/>
      <c r="I81" s="602"/>
      <c r="J81" s="602"/>
      <c r="K81" s="602"/>
      <c r="L81" s="602"/>
      <c r="M81" s="602"/>
      <c r="N81" s="602"/>
      <c r="O81" s="602"/>
      <c r="P81" s="603"/>
    </row>
    <row r="82" spans="1:16" ht="26.25" hidden="1" customHeight="1" x14ac:dyDescent="0.4">
      <c r="A82" s="601"/>
      <c r="B82" s="602"/>
      <c r="C82" s="602"/>
      <c r="D82" s="602"/>
      <c r="E82" s="602"/>
      <c r="F82" s="602"/>
      <c r="G82" s="602"/>
      <c r="H82" s="602"/>
      <c r="I82" s="602"/>
      <c r="J82" s="602"/>
      <c r="K82" s="602"/>
      <c r="L82" s="602"/>
      <c r="M82" s="602"/>
      <c r="N82" s="602"/>
      <c r="O82" s="602"/>
      <c r="P82" s="603"/>
    </row>
    <row r="83" spans="1:16" ht="26.25" hidden="1" customHeight="1" x14ac:dyDescent="0.4">
      <c r="A83" s="601"/>
      <c r="B83" s="602"/>
      <c r="C83" s="602"/>
      <c r="D83" s="602"/>
      <c r="E83" s="602"/>
      <c r="F83" s="602"/>
      <c r="G83" s="602"/>
      <c r="H83" s="602"/>
      <c r="I83" s="602"/>
      <c r="J83" s="602"/>
      <c r="K83" s="602"/>
      <c r="L83" s="602"/>
      <c r="M83" s="602"/>
      <c r="N83" s="602"/>
      <c r="O83" s="602"/>
      <c r="P83" s="603"/>
    </row>
    <row r="84" spans="1:16" ht="374.25" customHeight="1" thickBot="1" x14ac:dyDescent="0.45">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1">
    <mergeCell ref="A6:P6"/>
    <mergeCell ref="A7:P7"/>
    <mergeCell ref="A8:F8"/>
    <mergeCell ref="G8:P8"/>
    <mergeCell ref="A9:F9"/>
    <mergeCell ref="G9:P9"/>
    <mergeCell ref="A24:F24"/>
    <mergeCell ref="P11:P13"/>
    <mergeCell ref="C12:E12"/>
    <mergeCell ref="F12:F13"/>
    <mergeCell ref="G12:G13"/>
    <mergeCell ref="H12:J12"/>
    <mergeCell ref="K12:K13"/>
    <mergeCell ref="L12:L13"/>
    <mergeCell ref="N12:N13"/>
    <mergeCell ref="O12:O13"/>
    <mergeCell ref="N11:O11"/>
    <mergeCell ref="A11:B13"/>
    <mergeCell ref="C11:F11"/>
    <mergeCell ref="G11:J11"/>
    <mergeCell ref="K11:L11"/>
    <mergeCell ref="M11:M13"/>
    <mergeCell ref="A19:B19"/>
    <mergeCell ref="A20:B20"/>
    <mergeCell ref="A21:B21"/>
    <mergeCell ref="A22:B22"/>
    <mergeCell ref="A23:B23"/>
    <mergeCell ref="Q14:W14"/>
    <mergeCell ref="A15:B15"/>
    <mergeCell ref="A16:B16"/>
    <mergeCell ref="A17:B17"/>
    <mergeCell ref="A18:B18"/>
    <mergeCell ref="C33:F33"/>
    <mergeCell ref="A35:P35"/>
    <mergeCell ref="A36:P84"/>
    <mergeCell ref="A27:P27"/>
    <mergeCell ref="A28:P28"/>
    <mergeCell ref="A29:F29"/>
    <mergeCell ref="C30:F30"/>
    <mergeCell ref="C31:F31"/>
    <mergeCell ref="C32:F32"/>
  </mergeCells>
  <dataValidations count="2">
    <dataValidation type="list" allowBlank="1" showInputMessage="1" showErrorMessage="1" sqref="M15:M23">
      <formula1>$BA$13:$BA$16</formula1>
    </dataValidation>
    <dataValidation type="list" allowBlank="1" showInputMessage="1" showErrorMessage="1" sqref="BA13:BA15">
      <formula1>$BA$13:$BA$15</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[3]Resumo!#REF!</xm:f>
          </x14:formula1>
          <xm:sqref>E15:E19</xm:sqref>
        </x14:dataValidation>
        <x14:dataValidation type="list" allowBlank="1" showInputMessage="1" showErrorMessage="1">
          <x14:formula1>
            <xm:f>'AÇÕES ESTRATÉGICAS - DESCRIÇÃO '!$C$2:$C$22</xm:f>
          </x14:formula1>
          <xm:sqref>E20:E23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2">
    <tabColor rgb="FF00B050"/>
  </sheetPr>
  <dimension ref="A3:U31"/>
  <sheetViews>
    <sheetView showGridLines="0" view="pageBreakPreview" topLeftCell="A19" zoomScale="90" zoomScaleNormal="100" zoomScaleSheetLayoutView="90" workbookViewId="0">
      <selection activeCell="H60" sqref="H60"/>
    </sheetView>
  </sheetViews>
  <sheetFormatPr defaultRowHeight="15" x14ac:dyDescent="0.25"/>
  <sheetData>
    <row r="3" spans="1:21" ht="44.25" customHeight="1" x14ac:dyDescent="0.25"/>
    <row r="4" spans="1:21" ht="36" customHeight="1" x14ac:dyDescent="0.25">
      <c r="A4" s="374" t="s">
        <v>396</v>
      </c>
      <c r="B4" s="375"/>
      <c r="C4" s="375"/>
      <c r="D4" s="375"/>
      <c r="E4" s="375"/>
      <c r="F4" s="375"/>
      <c r="G4" s="375"/>
      <c r="H4" s="375"/>
      <c r="I4" s="375"/>
      <c r="J4" s="375"/>
      <c r="K4" s="375"/>
    </row>
    <row r="5" spans="1:21" ht="15.75" customHeight="1" x14ac:dyDescent="0.25">
      <c r="A5" s="376"/>
      <c r="B5" s="377"/>
      <c r="C5" s="377"/>
      <c r="D5" s="377"/>
      <c r="E5" s="377"/>
      <c r="F5" s="377"/>
      <c r="G5" s="377"/>
      <c r="H5" s="377"/>
      <c r="I5" s="377"/>
      <c r="J5" s="377"/>
      <c r="K5" s="377"/>
      <c r="L5" s="641"/>
      <c r="M5" s="642"/>
      <c r="N5" s="642"/>
      <c r="O5" s="642"/>
      <c r="P5" s="642"/>
      <c r="Q5" s="642"/>
      <c r="R5" s="642"/>
      <c r="S5" s="642"/>
      <c r="T5" s="642"/>
      <c r="U5" s="642"/>
    </row>
    <row r="6" spans="1:21" ht="15.75" customHeight="1" x14ac:dyDescent="0.25">
      <c r="A6" s="376"/>
      <c r="B6" s="377"/>
      <c r="C6" s="377"/>
      <c r="D6" s="377"/>
      <c r="E6" s="377"/>
      <c r="F6" s="377"/>
      <c r="G6" s="377"/>
      <c r="H6" s="377"/>
      <c r="I6" s="377"/>
      <c r="J6" s="377"/>
      <c r="K6" s="377"/>
      <c r="L6" s="642"/>
      <c r="M6" s="642"/>
      <c r="N6" s="642"/>
      <c r="O6" s="642"/>
      <c r="P6" s="642"/>
      <c r="Q6" s="642"/>
      <c r="R6" s="642"/>
      <c r="S6" s="642"/>
      <c r="T6" s="642"/>
      <c r="U6" s="642"/>
    </row>
    <row r="7" spans="1:21" ht="15.75" customHeight="1" x14ac:dyDescent="0.25">
      <c r="A7" s="376"/>
      <c r="B7" s="377"/>
      <c r="C7" s="377"/>
      <c r="D7" s="377"/>
      <c r="E7" s="377"/>
      <c r="F7" s="377"/>
      <c r="G7" s="377"/>
      <c r="H7" s="377"/>
      <c r="I7" s="377"/>
      <c r="J7" s="377"/>
      <c r="K7" s="377"/>
      <c r="L7" s="642"/>
      <c r="M7" s="642"/>
      <c r="N7" s="642"/>
      <c r="O7" s="642"/>
      <c r="P7" s="642"/>
      <c r="Q7" s="642"/>
      <c r="R7" s="642"/>
      <c r="S7" s="642"/>
      <c r="T7" s="642"/>
      <c r="U7" s="642"/>
    </row>
    <row r="8" spans="1:21" ht="15.75" customHeight="1" x14ac:dyDescent="0.25">
      <c r="A8" s="376"/>
      <c r="B8" s="377"/>
      <c r="C8" s="377"/>
      <c r="D8" s="377"/>
      <c r="E8" s="377"/>
      <c r="F8" s="377"/>
      <c r="G8" s="377"/>
      <c r="H8" s="377"/>
      <c r="I8" s="377"/>
      <c r="J8" s="377"/>
      <c r="K8" s="377"/>
      <c r="L8" s="642"/>
      <c r="M8" s="642"/>
      <c r="N8" s="642"/>
      <c r="O8" s="642"/>
      <c r="P8" s="642"/>
      <c r="Q8" s="642"/>
      <c r="R8" s="642"/>
      <c r="S8" s="642"/>
      <c r="T8" s="642"/>
      <c r="U8" s="642"/>
    </row>
    <row r="9" spans="1:21" ht="15.75" customHeight="1" x14ac:dyDescent="0.25">
      <c r="A9" s="376"/>
      <c r="B9" s="377"/>
      <c r="C9" s="377"/>
      <c r="D9" s="377"/>
      <c r="E9" s="377"/>
      <c r="F9" s="377"/>
      <c r="G9" s="377"/>
      <c r="H9" s="377"/>
      <c r="I9" s="377"/>
      <c r="J9" s="377"/>
      <c r="K9" s="377"/>
      <c r="L9" s="642"/>
      <c r="M9" s="642"/>
      <c r="N9" s="642"/>
      <c r="O9" s="642"/>
      <c r="P9" s="642"/>
      <c r="Q9" s="642"/>
      <c r="R9" s="642"/>
      <c r="S9" s="642"/>
      <c r="T9" s="642"/>
      <c r="U9" s="642"/>
    </row>
    <row r="10" spans="1:21" ht="15.75" customHeight="1" x14ac:dyDescent="0.25">
      <c r="A10" s="376"/>
      <c r="B10" s="377"/>
      <c r="C10" s="377"/>
      <c r="D10" s="377"/>
      <c r="E10" s="377"/>
      <c r="F10" s="377"/>
      <c r="G10" s="377"/>
      <c r="H10" s="377"/>
      <c r="I10" s="377"/>
      <c r="J10" s="377"/>
      <c r="K10" s="377"/>
      <c r="L10" s="642"/>
      <c r="M10" s="642"/>
      <c r="N10" s="642"/>
      <c r="O10" s="642"/>
      <c r="P10" s="642"/>
      <c r="Q10" s="642"/>
      <c r="R10" s="642"/>
      <c r="S10" s="642"/>
      <c r="T10" s="642"/>
      <c r="U10" s="642"/>
    </row>
    <row r="11" spans="1:21" ht="15.75" customHeight="1" x14ac:dyDescent="0.25">
      <c r="A11" s="376"/>
      <c r="B11" s="377"/>
      <c r="C11" s="377"/>
      <c r="D11" s="377"/>
      <c r="E11" s="377"/>
      <c r="F11" s="377"/>
      <c r="G11" s="377"/>
      <c r="H11" s="377"/>
      <c r="I11" s="377"/>
      <c r="J11" s="377"/>
      <c r="K11" s="377"/>
      <c r="L11" s="642"/>
      <c r="M11" s="642"/>
      <c r="N11" s="642"/>
      <c r="O11" s="642"/>
      <c r="P11" s="642"/>
      <c r="Q11" s="642"/>
      <c r="R11" s="642"/>
      <c r="S11" s="642"/>
      <c r="T11" s="642"/>
      <c r="U11" s="642"/>
    </row>
    <row r="12" spans="1:21" ht="15.75" customHeight="1" x14ac:dyDescent="0.25">
      <c r="A12" s="376"/>
      <c r="B12" s="377"/>
      <c r="C12" s="377"/>
      <c r="D12" s="377"/>
      <c r="E12" s="377"/>
      <c r="F12" s="377"/>
      <c r="G12" s="377"/>
      <c r="H12" s="377"/>
      <c r="I12" s="377"/>
      <c r="J12" s="377"/>
      <c r="K12" s="377"/>
      <c r="L12" s="642"/>
      <c r="M12" s="642"/>
      <c r="N12" s="642"/>
      <c r="O12" s="642"/>
      <c r="P12" s="642"/>
      <c r="Q12" s="642"/>
      <c r="R12" s="642"/>
      <c r="S12" s="642"/>
      <c r="T12" s="642"/>
      <c r="U12" s="642"/>
    </row>
    <row r="13" spans="1:21" ht="15.75" customHeight="1" x14ac:dyDescent="0.25">
      <c r="A13" s="376"/>
      <c r="B13" s="377"/>
      <c r="C13" s="377"/>
      <c r="D13" s="377"/>
      <c r="E13" s="377"/>
      <c r="F13" s="377"/>
      <c r="G13" s="377"/>
      <c r="H13" s="377"/>
      <c r="I13" s="377"/>
      <c r="J13" s="377"/>
      <c r="K13" s="377"/>
      <c r="L13" s="642"/>
      <c r="M13" s="642"/>
      <c r="N13" s="642"/>
      <c r="O13" s="642"/>
      <c r="P13" s="642"/>
      <c r="Q13" s="642"/>
      <c r="R13" s="642"/>
      <c r="S13" s="642"/>
      <c r="T13" s="642"/>
      <c r="U13" s="642"/>
    </row>
    <row r="14" spans="1:21" ht="15.75" customHeight="1" x14ac:dyDescent="0.25">
      <c r="A14" s="376"/>
      <c r="B14" s="377"/>
      <c r="C14" s="377"/>
      <c r="D14" s="377"/>
      <c r="E14" s="377"/>
      <c r="F14" s="377"/>
      <c r="G14" s="377"/>
      <c r="H14" s="377"/>
      <c r="I14" s="377"/>
      <c r="J14" s="377"/>
      <c r="K14" s="377"/>
    </row>
    <row r="15" spans="1:21" ht="15.75" customHeight="1" x14ac:dyDescent="0.25">
      <c r="A15" s="376"/>
      <c r="B15" s="377"/>
      <c r="C15" s="377"/>
      <c r="D15" s="377"/>
      <c r="E15" s="377"/>
      <c r="F15" s="377"/>
      <c r="G15" s="377"/>
      <c r="H15" s="377"/>
      <c r="I15" s="377"/>
      <c r="J15" s="377"/>
      <c r="K15" s="377"/>
    </row>
    <row r="16" spans="1:21" ht="15" customHeight="1" x14ac:dyDescent="0.25">
      <c r="A16" s="376"/>
      <c r="B16" s="377"/>
      <c r="C16" s="377"/>
      <c r="D16" s="377"/>
      <c r="E16" s="377"/>
      <c r="F16" s="377"/>
      <c r="G16" s="377"/>
      <c r="H16" s="377"/>
      <c r="I16" s="377"/>
      <c r="J16" s="377"/>
      <c r="K16" s="377"/>
    </row>
    <row r="17" spans="1:18" ht="15.75" customHeight="1" x14ac:dyDescent="0.25">
      <c r="A17" s="376"/>
      <c r="B17" s="377"/>
      <c r="C17" s="377"/>
      <c r="D17" s="377"/>
      <c r="E17" s="377"/>
      <c r="F17" s="377"/>
      <c r="G17" s="377"/>
      <c r="H17" s="377"/>
      <c r="I17" s="377"/>
      <c r="J17" s="377"/>
      <c r="K17" s="377"/>
    </row>
    <row r="18" spans="1:18" ht="15.75" customHeight="1" x14ac:dyDescent="0.25">
      <c r="A18" s="376"/>
      <c r="B18" s="377"/>
      <c r="C18" s="377"/>
      <c r="D18" s="377"/>
      <c r="E18" s="377"/>
      <c r="F18" s="377"/>
      <c r="G18" s="377"/>
      <c r="H18" s="377"/>
      <c r="I18" s="377"/>
      <c r="J18" s="377"/>
      <c r="K18" s="377"/>
    </row>
    <row r="19" spans="1:18" ht="15.75" customHeight="1" x14ac:dyDescent="0.25">
      <c r="A19" s="376"/>
      <c r="B19" s="377"/>
      <c r="C19" s="377"/>
      <c r="D19" s="377"/>
      <c r="E19" s="377"/>
      <c r="F19" s="377"/>
      <c r="G19" s="377"/>
      <c r="H19" s="377"/>
      <c r="I19" s="377"/>
      <c r="J19" s="377"/>
      <c r="K19" s="377"/>
    </row>
    <row r="20" spans="1:18" ht="15.75" customHeight="1" x14ac:dyDescent="0.25">
      <c r="A20" s="376"/>
      <c r="B20" s="377"/>
      <c r="C20" s="377"/>
      <c r="D20" s="377"/>
      <c r="E20" s="377"/>
      <c r="F20" s="377"/>
      <c r="G20" s="377"/>
      <c r="H20" s="377"/>
      <c r="I20" s="377"/>
      <c r="J20" s="377"/>
      <c r="K20" s="377"/>
    </row>
    <row r="21" spans="1:18" ht="15.75" customHeight="1" x14ac:dyDescent="0.25">
      <c r="A21" s="376"/>
      <c r="B21" s="377"/>
      <c r="C21" s="377"/>
      <c r="D21" s="377"/>
      <c r="E21" s="377"/>
      <c r="F21" s="377"/>
      <c r="G21" s="377"/>
      <c r="H21" s="377"/>
      <c r="I21" s="377"/>
      <c r="J21" s="377"/>
      <c r="K21" s="377"/>
    </row>
    <row r="22" spans="1:18" ht="15.75" customHeight="1" x14ac:dyDescent="0.25">
      <c r="A22" s="376"/>
      <c r="B22" s="377"/>
      <c r="C22" s="377"/>
      <c r="D22" s="377"/>
      <c r="E22" s="377"/>
      <c r="F22" s="377"/>
      <c r="G22" s="377"/>
      <c r="H22" s="377"/>
      <c r="I22" s="377"/>
      <c r="J22" s="377"/>
      <c r="K22" s="377"/>
    </row>
    <row r="23" spans="1:18" ht="15.75" customHeight="1" x14ac:dyDescent="0.25">
      <c r="A23" s="376"/>
      <c r="B23" s="377"/>
      <c r="C23" s="377"/>
      <c r="D23" s="377"/>
      <c r="E23" s="377"/>
      <c r="F23" s="377"/>
      <c r="G23" s="377"/>
      <c r="H23" s="377"/>
      <c r="I23" s="377"/>
      <c r="J23" s="377"/>
      <c r="K23" s="377"/>
    </row>
    <row r="24" spans="1:18" ht="15.75" customHeight="1" x14ac:dyDescent="0.25">
      <c r="A24" s="376"/>
      <c r="B24" s="377"/>
      <c r="C24" s="377"/>
      <c r="D24" s="377"/>
      <c r="E24" s="377"/>
      <c r="F24" s="377"/>
      <c r="G24" s="377"/>
      <c r="H24" s="377"/>
      <c r="I24" s="377"/>
      <c r="J24" s="377"/>
      <c r="K24" s="377"/>
    </row>
    <row r="25" spans="1:18" ht="15.75" customHeight="1" x14ac:dyDescent="0.25">
      <c r="A25" s="376"/>
      <c r="B25" s="377"/>
      <c r="C25" s="377"/>
      <c r="D25" s="377"/>
      <c r="E25" s="377"/>
      <c r="F25" s="377"/>
      <c r="G25" s="377"/>
      <c r="H25" s="377"/>
      <c r="I25" s="377"/>
      <c r="J25" s="377"/>
      <c r="K25" s="377"/>
    </row>
    <row r="26" spans="1:18" ht="15" customHeight="1" x14ac:dyDescent="0.25">
      <c r="A26" s="376"/>
      <c r="B26" s="377"/>
      <c r="C26" s="377"/>
      <c r="D26" s="377"/>
      <c r="E26" s="377"/>
      <c r="F26" s="377"/>
      <c r="G26" s="377"/>
      <c r="H26" s="377"/>
      <c r="I26" s="377"/>
      <c r="J26" s="377"/>
      <c r="K26" s="377"/>
    </row>
    <row r="27" spans="1:18" ht="15.75" customHeight="1" x14ac:dyDescent="0.25">
      <c r="A27" s="376"/>
      <c r="B27" s="377"/>
      <c r="C27" s="377"/>
      <c r="D27" s="377"/>
      <c r="E27" s="377"/>
      <c r="F27" s="377"/>
      <c r="G27" s="377"/>
      <c r="H27" s="377"/>
      <c r="I27" s="377"/>
      <c r="J27" s="377"/>
      <c r="K27" s="377"/>
    </row>
    <row r="28" spans="1:18" x14ac:dyDescent="0.25">
      <c r="A28" s="6"/>
      <c r="B28" s="6"/>
      <c r="C28" s="6"/>
      <c r="D28" s="6"/>
      <c r="E28" s="6"/>
      <c r="F28" s="6"/>
      <c r="G28" s="6"/>
      <c r="H28" s="6"/>
      <c r="I28" s="6"/>
      <c r="J28" s="6"/>
      <c r="K28" s="6"/>
      <c r="L28" s="44"/>
      <c r="M28" s="44"/>
      <c r="N28" s="44"/>
      <c r="O28" s="44"/>
      <c r="P28" s="44"/>
      <c r="Q28" s="44"/>
      <c r="R28" s="44"/>
    </row>
    <row r="30" spans="1:18" ht="42.75" customHeight="1" x14ac:dyDescent="0.25">
      <c r="A30" s="1"/>
      <c r="B30" s="1"/>
      <c r="C30" s="1"/>
      <c r="D30" s="1"/>
      <c r="E30" s="1"/>
      <c r="F30" s="1"/>
      <c r="G30" s="1"/>
      <c r="H30" s="1"/>
      <c r="I30" s="1"/>
      <c r="J30" s="1"/>
      <c r="K30" s="1"/>
      <c r="L30" s="1"/>
      <c r="M30" s="1"/>
      <c r="N30" s="1"/>
      <c r="O30" s="1"/>
      <c r="P30" s="1"/>
    </row>
    <row r="31" spans="1:18" ht="36" customHeight="1" x14ac:dyDescent="0.25">
      <c r="A31" s="378" t="s">
        <v>272</v>
      </c>
      <c r="B31" s="378"/>
      <c r="C31" s="378"/>
      <c r="D31" s="378"/>
      <c r="E31" s="378"/>
      <c r="F31" s="378"/>
      <c r="G31" s="378"/>
      <c r="H31" s="378"/>
      <c r="I31" s="378"/>
      <c r="J31" s="378"/>
      <c r="K31" s="378"/>
      <c r="L31" s="1"/>
      <c r="M31" s="1"/>
      <c r="N31" s="1"/>
      <c r="O31" s="1"/>
      <c r="P31" s="1"/>
    </row>
  </sheetData>
  <mergeCells count="4">
    <mergeCell ref="A4:K4"/>
    <mergeCell ref="A5:K27"/>
    <mergeCell ref="A31:K31"/>
    <mergeCell ref="L5:U13"/>
  </mergeCells>
  <pageMargins left="0.511811024" right="0.511811024" top="0.78740157499999996" bottom="0.78740157499999996" header="0.31496062000000002" footer="0.31496062000000002"/>
  <pageSetup paperSize="9" scale="79" orientation="portrait" r:id="rId1"/>
  <drawing r:id="rId2"/>
  <legacyDrawing r:id="rId3"/>
  <oleObjects>
    <mc:AlternateContent xmlns:mc="http://schemas.openxmlformats.org/markup-compatibility/2006">
      <mc:Choice Requires="x14">
        <oleObject progId="PowerPoint.Slide.12" shapeId="1026" r:id="rId4">
          <objectPr defaultSize="0" autoPict="0" r:id="rId5">
            <anchor moveWithCells="1">
              <from>
                <xdr:col>0</xdr:col>
                <xdr:colOff>0</xdr:colOff>
                <xdr:row>4</xdr:row>
                <xdr:rowOff>9525</xdr:rowOff>
              </from>
              <to>
                <xdr:col>10</xdr:col>
                <xdr:colOff>581025</xdr:colOff>
                <xdr:row>28</xdr:row>
                <xdr:rowOff>38100</xdr:rowOff>
              </to>
            </anchor>
          </objectPr>
        </oleObject>
      </mc:Choice>
      <mc:Fallback>
        <oleObject progId="PowerPoint.Slide.12" shapeId="1026"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5:BA84"/>
  <sheetViews>
    <sheetView showGridLines="0" topLeftCell="A10" zoomScale="40" zoomScaleNormal="40" zoomScaleSheetLayoutView="80" workbookViewId="0">
      <selection activeCell="J24" sqref="J24"/>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27.7109375" style="1" bestFit="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440</v>
      </c>
      <c r="H8" s="570"/>
      <c r="I8" s="570"/>
      <c r="J8" s="570"/>
      <c r="K8" s="570"/>
      <c r="L8" s="570"/>
      <c r="M8" s="570"/>
      <c r="N8" s="570"/>
      <c r="O8" s="570"/>
      <c r="P8" s="571"/>
      <c r="Q8" s="307" t="b">
        <f>G8='Quadro Geral'!E21</f>
        <v>1</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526</v>
      </c>
      <c r="H9" s="570"/>
      <c r="I9" s="570"/>
      <c r="J9" s="570"/>
      <c r="K9" s="570"/>
      <c r="L9" s="570"/>
      <c r="M9" s="570"/>
      <c r="N9" s="570"/>
      <c r="O9" s="570"/>
      <c r="P9" s="571"/>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198" t="s">
        <v>289</v>
      </c>
      <c r="D13" s="199" t="s">
        <v>288</v>
      </c>
      <c r="E13" s="130" t="s">
        <v>217</v>
      </c>
      <c r="F13" s="582"/>
      <c r="G13" s="582"/>
      <c r="H13" s="198" t="s">
        <v>373</v>
      </c>
      <c r="I13" s="198" t="s">
        <v>374</v>
      </c>
      <c r="J13" s="198"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131.25" x14ac:dyDescent="0.5">
      <c r="A15" s="590" t="s">
        <v>513</v>
      </c>
      <c r="B15" s="591"/>
      <c r="C15" s="200">
        <v>12</v>
      </c>
      <c r="D15" s="61" t="s">
        <v>632</v>
      </c>
      <c r="E15" s="212" t="s">
        <v>281</v>
      </c>
      <c r="F15" s="61" t="s">
        <v>492</v>
      </c>
      <c r="G15" s="210">
        <v>2500</v>
      </c>
      <c r="H15" s="231">
        <v>0</v>
      </c>
      <c r="I15" s="231">
        <v>0</v>
      </c>
      <c r="J15" s="231">
        <f>H15+I15</f>
        <v>0</v>
      </c>
      <c r="K15" s="151">
        <f>J15-G15</f>
        <v>-2500</v>
      </c>
      <c r="L15" s="152">
        <f>IFERROR(K15/G15*100,0)</f>
        <v>-100</v>
      </c>
      <c r="M15" s="152" t="s">
        <v>371</v>
      </c>
      <c r="N15" s="153"/>
      <c r="O15" s="154">
        <f>IFERROR(N15/J15*100,)</f>
        <v>0</v>
      </c>
      <c r="P15" s="61" t="s">
        <v>615</v>
      </c>
      <c r="Z15" s="3"/>
      <c r="AA15" s="118"/>
      <c r="AB15" s="116"/>
      <c r="AC15" s="116"/>
      <c r="AD15" s="116"/>
      <c r="AE15" s="116"/>
      <c r="AF15" s="116"/>
      <c r="AG15" s="3"/>
      <c r="AH15" s="3"/>
      <c r="AI15" s="3"/>
      <c r="AJ15" s="3"/>
      <c r="AZ15" s="188"/>
      <c r="BA15" s="188" t="s">
        <v>213</v>
      </c>
    </row>
    <row r="16" spans="1:53" ht="131.25" x14ac:dyDescent="0.5">
      <c r="A16" s="590" t="s">
        <v>513</v>
      </c>
      <c r="B16" s="591"/>
      <c r="C16" s="200">
        <v>12</v>
      </c>
      <c r="D16" s="61" t="s">
        <v>633</v>
      </c>
      <c r="E16" s="212" t="s">
        <v>281</v>
      </c>
      <c r="F16" s="61" t="s">
        <v>492</v>
      </c>
      <c r="G16" s="210">
        <v>2500</v>
      </c>
      <c r="H16" s="231">
        <v>0</v>
      </c>
      <c r="I16" s="231">
        <v>0</v>
      </c>
      <c r="J16" s="231">
        <f t="shared" ref="J16:J23" si="1">H16+I16</f>
        <v>0</v>
      </c>
      <c r="K16" s="151">
        <f t="shared" ref="K16:K22" si="2">J16-G16</f>
        <v>-2500</v>
      </c>
      <c r="L16" s="152">
        <f t="shared" ref="L16:L24" si="3">IFERROR(K16/G16*100,0)</f>
        <v>-100</v>
      </c>
      <c r="M16" s="152" t="s">
        <v>371</v>
      </c>
      <c r="N16" s="153"/>
      <c r="O16" s="154">
        <f t="shared" ref="O16:O24" si="4">IFERROR(N16/J16*100,)</f>
        <v>0</v>
      </c>
      <c r="P16" s="61" t="s">
        <v>615</v>
      </c>
      <c r="Z16" s="3"/>
      <c r="AA16" s="118"/>
      <c r="AB16" s="116"/>
      <c r="AC16" s="116"/>
      <c r="AD16" s="116"/>
      <c r="AE16" s="116"/>
      <c r="AF16" s="116"/>
      <c r="AG16" s="3"/>
      <c r="AH16" s="3"/>
      <c r="AI16" s="3"/>
      <c r="AJ16" s="3"/>
      <c r="AZ16" s="188"/>
      <c r="BA16" s="188" t="s">
        <v>371</v>
      </c>
    </row>
    <row r="17" spans="1:36" ht="28.5" x14ac:dyDescent="0.4">
      <c r="A17" s="590"/>
      <c r="B17" s="591"/>
      <c r="C17" s="200"/>
      <c r="D17" s="61"/>
      <c r="E17" s="61"/>
      <c r="F17" s="61"/>
      <c r="G17" s="231"/>
      <c r="H17" s="231"/>
      <c r="I17" s="231"/>
      <c r="J17" s="231">
        <f t="shared" si="1"/>
        <v>0</v>
      </c>
      <c r="K17" s="151">
        <f t="shared" si="2"/>
        <v>0</v>
      </c>
      <c r="L17" s="152">
        <f t="shared" si="3"/>
        <v>0</v>
      </c>
      <c r="M17" s="152" t="s">
        <v>371</v>
      </c>
      <c r="N17" s="153"/>
      <c r="O17" s="154">
        <f t="shared" si="4"/>
        <v>0</v>
      </c>
      <c r="P17" s="155"/>
      <c r="Z17" s="3"/>
      <c r="AA17" s="118"/>
      <c r="AB17" s="116"/>
      <c r="AC17" s="116"/>
      <c r="AD17" s="116"/>
      <c r="AE17" s="116"/>
      <c r="AF17" s="116"/>
      <c r="AG17" s="3"/>
      <c r="AH17" s="3"/>
      <c r="AI17" s="3"/>
      <c r="AJ17" s="3"/>
    </row>
    <row r="18" spans="1:36" ht="28.5" x14ac:dyDescent="0.4">
      <c r="A18" s="590"/>
      <c r="B18" s="591"/>
      <c r="C18" s="200"/>
      <c r="D18" s="61"/>
      <c r="E18" s="61"/>
      <c r="F18" s="61"/>
      <c r="G18" s="232"/>
      <c r="H18" s="231"/>
      <c r="I18" s="231"/>
      <c r="J18" s="231">
        <f t="shared" si="1"/>
        <v>0</v>
      </c>
      <c r="K18" s="151">
        <f t="shared" si="2"/>
        <v>0</v>
      </c>
      <c r="L18" s="152">
        <f t="shared" si="3"/>
        <v>0</v>
      </c>
      <c r="M18" s="152"/>
      <c r="N18" s="153"/>
      <c r="O18" s="154">
        <f t="shared" si="4"/>
        <v>0</v>
      </c>
      <c r="P18" s="155"/>
      <c r="Z18" s="3"/>
      <c r="AA18" s="118"/>
      <c r="AB18" s="116"/>
      <c r="AC18" s="116"/>
      <c r="AD18" s="116"/>
      <c r="AE18" s="116"/>
      <c r="AF18" s="116"/>
      <c r="AG18" s="3"/>
      <c r="AH18" s="3"/>
      <c r="AI18" s="3"/>
      <c r="AJ18" s="3"/>
    </row>
    <row r="19" spans="1:36" ht="28.5" x14ac:dyDescent="0.25">
      <c r="A19" s="590"/>
      <c r="B19" s="591"/>
      <c r="C19" s="200"/>
      <c r="D19" s="61"/>
      <c r="E19" s="61"/>
      <c r="F19" s="61"/>
      <c r="G19" s="233"/>
      <c r="H19" s="231"/>
      <c r="I19" s="231"/>
      <c r="J19" s="231">
        <f t="shared" si="1"/>
        <v>0</v>
      </c>
      <c r="K19" s="151">
        <f t="shared" si="2"/>
        <v>0</v>
      </c>
      <c r="L19" s="152">
        <f t="shared" si="3"/>
        <v>0</v>
      </c>
      <c r="M19" s="152"/>
      <c r="N19" s="153"/>
      <c r="O19" s="154">
        <f t="shared" si="4"/>
        <v>0</v>
      </c>
      <c r="P19" s="155"/>
      <c r="Z19" s="3"/>
      <c r="AA19" s="3"/>
      <c r="AB19" s="3"/>
      <c r="AC19" s="3"/>
      <c r="AD19" s="3"/>
      <c r="AE19" s="3"/>
      <c r="AF19" s="3"/>
      <c r="AG19" s="3"/>
      <c r="AH19" s="3"/>
      <c r="AI19" s="3"/>
      <c r="AJ19" s="3"/>
    </row>
    <row r="20" spans="1:36" ht="55.5" customHeight="1" x14ac:dyDescent="0.25">
      <c r="A20" s="590"/>
      <c r="B20" s="591"/>
      <c r="C20" s="61"/>
      <c r="D20" s="61"/>
      <c r="E20" s="61"/>
      <c r="F20" s="61"/>
      <c r="G20" s="231"/>
      <c r="H20" s="231"/>
      <c r="I20" s="231"/>
      <c r="J20" s="231">
        <f t="shared" si="1"/>
        <v>0</v>
      </c>
      <c r="K20" s="151">
        <f t="shared" si="2"/>
        <v>0</v>
      </c>
      <c r="L20" s="152">
        <f t="shared" si="3"/>
        <v>0</v>
      </c>
      <c r="M20" s="152"/>
      <c r="N20" s="153"/>
      <c r="O20" s="154">
        <f t="shared" si="4"/>
        <v>0</v>
      </c>
      <c r="P20" s="155"/>
      <c r="Z20" s="3"/>
      <c r="AA20" s="3"/>
      <c r="AB20" s="3"/>
      <c r="AC20" s="3"/>
      <c r="AD20" s="3"/>
      <c r="AE20" s="3"/>
      <c r="AF20" s="3"/>
      <c r="AG20" s="3"/>
      <c r="AH20" s="3"/>
      <c r="AI20" s="3"/>
      <c r="AJ20" s="3"/>
    </row>
    <row r="21" spans="1:36" ht="55.5" customHeight="1" x14ac:dyDescent="0.25">
      <c r="A21" s="590"/>
      <c r="B21" s="591"/>
      <c r="C21" s="61"/>
      <c r="D21" s="61"/>
      <c r="E21" s="61"/>
      <c r="F21" s="61"/>
      <c r="G21" s="231"/>
      <c r="H21" s="231"/>
      <c r="I21" s="231"/>
      <c r="J21" s="231">
        <f t="shared" si="1"/>
        <v>0</v>
      </c>
      <c r="K21" s="151">
        <f t="shared" si="2"/>
        <v>0</v>
      </c>
      <c r="L21" s="152">
        <f t="shared" si="3"/>
        <v>0</v>
      </c>
      <c r="M21" s="152"/>
      <c r="N21" s="153"/>
      <c r="O21" s="154">
        <f t="shared" si="4"/>
        <v>0</v>
      </c>
      <c r="P21" s="155"/>
      <c r="AA21" s="178"/>
    </row>
    <row r="22" spans="1:36" ht="55.5" customHeight="1" x14ac:dyDescent="0.25">
      <c r="A22" s="590"/>
      <c r="B22" s="591"/>
      <c r="C22" s="61"/>
      <c r="D22" s="61"/>
      <c r="E22" s="61"/>
      <c r="F22" s="61"/>
      <c r="G22" s="231"/>
      <c r="H22" s="231"/>
      <c r="I22" s="231"/>
      <c r="J22" s="231">
        <f t="shared" si="1"/>
        <v>0</v>
      </c>
      <c r="K22" s="151">
        <f t="shared" si="2"/>
        <v>0</v>
      </c>
      <c r="L22" s="152">
        <f t="shared" si="3"/>
        <v>0</v>
      </c>
      <c r="M22" s="152"/>
      <c r="N22" s="153"/>
      <c r="O22" s="154">
        <f t="shared" si="4"/>
        <v>0</v>
      </c>
      <c r="P22" s="155"/>
    </row>
    <row r="23" spans="1:36" ht="55.5" customHeight="1" x14ac:dyDescent="0.25">
      <c r="A23" s="590"/>
      <c r="B23" s="591"/>
      <c r="C23" s="61"/>
      <c r="D23" s="61"/>
      <c r="E23" s="61"/>
      <c r="F23" s="61"/>
      <c r="G23" s="231"/>
      <c r="H23" s="231"/>
      <c r="I23" s="231"/>
      <c r="J23" s="231">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234">
        <f>SUM(G14:G23)</f>
        <v>5000</v>
      </c>
      <c r="H24" s="234">
        <f>SUM(H14:H23)</f>
        <v>0</v>
      </c>
      <c r="I24" s="234">
        <f>SUM(I14:I23)</f>
        <v>0</v>
      </c>
      <c r="J24" s="234">
        <f>SUM(J14:J23)</f>
        <v>0</v>
      </c>
      <c r="K24" s="156">
        <f>J24-G24</f>
        <v>-5000</v>
      </c>
      <c r="L24" s="156">
        <f t="shared" si="3"/>
        <v>-100</v>
      </c>
      <c r="M24" s="156"/>
      <c r="N24" s="157">
        <f>SUM(N14:N23)</f>
        <v>0</v>
      </c>
      <c r="O24" s="156">
        <f t="shared" si="4"/>
        <v>0</v>
      </c>
      <c r="P24" s="158"/>
    </row>
    <row r="25" spans="1:36" ht="19.5" x14ac:dyDescent="0.3">
      <c r="A25" s="1"/>
      <c r="B25" s="1"/>
      <c r="C25" s="1"/>
      <c r="D25" s="1"/>
      <c r="E25" s="1"/>
      <c r="F25" s="1"/>
      <c r="G25" s="235">
        <f>'Quadro Geral'!J21</f>
        <v>5000</v>
      </c>
      <c r="H25" s="235">
        <f>'Quadro Geral'!K21</f>
        <v>0</v>
      </c>
      <c r="I25" s="235">
        <f>'Quadro Geral'!L21</f>
        <v>0</v>
      </c>
      <c r="J25" s="235">
        <f>'Quadro Geral'!M21</f>
        <v>0</v>
      </c>
      <c r="K25" s="1"/>
      <c r="L25" s="1"/>
      <c r="M25" s="1"/>
      <c r="N25" s="1"/>
      <c r="O25" s="1"/>
      <c r="P25" s="1"/>
    </row>
    <row r="26" spans="1:36" x14ac:dyDescent="0.4">
      <c r="A26" s="616" t="s">
        <v>296</v>
      </c>
      <c r="B26" s="616"/>
      <c r="C26" s="616"/>
      <c r="D26" s="616"/>
      <c r="E26" s="616"/>
      <c r="F26" s="616"/>
      <c r="G26" s="616"/>
      <c r="H26" s="616"/>
      <c r="I26" s="616"/>
      <c r="J26" s="616"/>
      <c r="K26" s="616"/>
      <c r="L26" s="616"/>
      <c r="M26" s="616"/>
      <c r="N26" s="616"/>
      <c r="O26" s="616"/>
      <c r="P26" s="616"/>
    </row>
    <row r="27" spans="1:36" ht="36" customHeight="1" x14ac:dyDescent="0.25">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t="15" hidden="1" x14ac:dyDescent="0.25">
      <c r="A36" s="598" t="s">
        <v>387</v>
      </c>
      <c r="B36" s="599"/>
      <c r="C36" s="599"/>
      <c r="D36" s="599"/>
      <c r="E36" s="599"/>
      <c r="F36" s="599"/>
      <c r="G36" s="599"/>
      <c r="H36" s="599"/>
      <c r="I36" s="599"/>
      <c r="J36" s="599"/>
      <c r="K36" s="599"/>
      <c r="L36" s="599"/>
      <c r="M36" s="599"/>
      <c r="N36" s="599"/>
      <c r="O36" s="599"/>
      <c r="P36" s="600"/>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1.5"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374.25" customHeight="1" thickBot="1" x14ac:dyDescent="0.3">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2">
    <mergeCell ref="A6:P6"/>
    <mergeCell ref="A7:P7"/>
    <mergeCell ref="A8:F8"/>
    <mergeCell ref="G8:P8"/>
    <mergeCell ref="A9:F9"/>
    <mergeCell ref="G9:P9"/>
    <mergeCell ref="A11:B13"/>
    <mergeCell ref="C11:F11"/>
    <mergeCell ref="G11:J11"/>
    <mergeCell ref="K11:L11"/>
    <mergeCell ref="M11:M13"/>
    <mergeCell ref="P11:P13"/>
    <mergeCell ref="C12:E12"/>
    <mergeCell ref="F12:F13"/>
    <mergeCell ref="G12:G13"/>
    <mergeCell ref="H12:J12"/>
    <mergeCell ref="K12:K13"/>
    <mergeCell ref="L12:L13"/>
    <mergeCell ref="N12:N13"/>
    <mergeCell ref="O12:O13"/>
    <mergeCell ref="N11:O11"/>
    <mergeCell ref="A26:P26"/>
    <mergeCell ref="Q14:W14"/>
    <mergeCell ref="A15:B15"/>
    <mergeCell ref="A16:B16"/>
    <mergeCell ref="A17:B17"/>
    <mergeCell ref="A18:B18"/>
    <mergeCell ref="A19:B19"/>
    <mergeCell ref="A20:B20"/>
    <mergeCell ref="A21:B21"/>
    <mergeCell ref="A22:B22"/>
    <mergeCell ref="A23:B23"/>
    <mergeCell ref="A24:F24"/>
    <mergeCell ref="C33:F33"/>
    <mergeCell ref="A35:P35"/>
    <mergeCell ref="A36:P84"/>
    <mergeCell ref="A27:P27"/>
    <mergeCell ref="A28:P28"/>
    <mergeCell ref="A29:F29"/>
    <mergeCell ref="C30:F30"/>
    <mergeCell ref="C31:F31"/>
    <mergeCell ref="C32:F32"/>
  </mergeCells>
  <dataValidations count="3">
    <dataValidation type="list" allowBlank="1" showInputMessage="1" showErrorMessage="1" sqref="M15:M23">
      <formula1>$BA$13:$BA$16</formula1>
    </dataValidation>
    <dataValidation type="list" allowBlank="1" showInputMessage="1" showErrorMessage="1" sqref="BA13:BA15">
      <formula1>$BA$13:$BA$15</formula1>
    </dataValidation>
    <dataValidation type="list" allowBlank="1" showInputMessage="1" showErrorMessage="1" sqref="F15:F16">
      <formula1>#REF!</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[3]Resumo!#REF!</xm:f>
          </x14:formula1>
          <xm:sqref>E15:E19</xm:sqref>
        </x14:dataValidation>
        <x14:dataValidation type="list" allowBlank="1" showInputMessage="1" showErrorMessage="1">
          <x14:formula1>
            <xm:f>'AÇÕES ESTRATÉGICAS - DESCRIÇÃO '!$C$2:$C$22</xm:f>
          </x14:formula1>
          <xm:sqref>E20:E23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5:BA84"/>
  <sheetViews>
    <sheetView showGridLines="0" topLeftCell="G4" zoomScale="40" zoomScaleNormal="40" zoomScaleSheetLayoutView="80" workbookViewId="0">
      <selection activeCell="Q8" sqref="Q8"/>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27.7109375" style="1" bestFit="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442</v>
      </c>
      <c r="H8" s="570"/>
      <c r="I8" s="570"/>
      <c r="J8" s="570"/>
      <c r="K8" s="570"/>
      <c r="L8" s="570"/>
      <c r="M8" s="570"/>
      <c r="N8" s="570"/>
      <c r="O8" s="570"/>
      <c r="P8" s="571"/>
      <c r="Q8" s="307" t="b">
        <f>G8='Quadro Geral'!E22</f>
        <v>1</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526</v>
      </c>
      <c r="H9" s="570"/>
      <c r="I9" s="570"/>
      <c r="J9" s="570"/>
      <c r="K9" s="570"/>
      <c r="L9" s="570"/>
      <c r="M9" s="570"/>
      <c r="N9" s="570"/>
      <c r="O9" s="570"/>
      <c r="P9" s="571"/>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198" t="s">
        <v>289</v>
      </c>
      <c r="D13" s="199" t="s">
        <v>288</v>
      </c>
      <c r="E13" s="130" t="s">
        <v>217</v>
      </c>
      <c r="F13" s="582"/>
      <c r="G13" s="582"/>
      <c r="H13" s="198" t="s">
        <v>373</v>
      </c>
      <c r="I13" s="198" t="s">
        <v>374</v>
      </c>
      <c r="J13" s="198"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105" x14ac:dyDescent="0.5">
      <c r="A15" s="590" t="s">
        <v>512</v>
      </c>
      <c r="B15" s="591"/>
      <c r="C15" s="200">
        <v>12</v>
      </c>
      <c r="D15" s="61" t="s">
        <v>634</v>
      </c>
      <c r="E15" s="61" t="s">
        <v>281</v>
      </c>
      <c r="F15" s="61" t="s">
        <v>635</v>
      </c>
      <c r="G15" s="210">
        <v>70000</v>
      </c>
      <c r="H15" s="231">
        <v>4793.78</v>
      </c>
      <c r="I15" s="231">
        <v>20226.22</v>
      </c>
      <c r="J15" s="231">
        <f>H15+I15</f>
        <v>25020</v>
      </c>
      <c r="K15" s="151">
        <f>J15-G15</f>
        <v>-44980</v>
      </c>
      <c r="L15" s="152">
        <f>IFERROR(K15/G15*100,0)</f>
        <v>-64.257142857142853</v>
      </c>
      <c r="M15" s="152" t="s">
        <v>371</v>
      </c>
      <c r="N15" s="153"/>
      <c r="O15" s="154">
        <f>IFERROR(N15/J15*100,)</f>
        <v>0</v>
      </c>
      <c r="P15" s="61" t="s">
        <v>637</v>
      </c>
      <c r="Z15" s="3"/>
      <c r="AA15" s="118"/>
      <c r="AB15" s="116"/>
      <c r="AC15" s="116"/>
      <c r="AD15" s="116"/>
      <c r="AE15" s="116"/>
      <c r="AF15" s="116"/>
      <c r="AG15" s="3"/>
      <c r="AH15" s="3"/>
      <c r="AI15" s="3"/>
      <c r="AJ15" s="3"/>
      <c r="AZ15" s="188"/>
      <c r="BA15" s="188" t="s">
        <v>213</v>
      </c>
    </row>
    <row r="16" spans="1:53" ht="105" x14ac:dyDescent="0.5">
      <c r="A16" s="590" t="s">
        <v>513</v>
      </c>
      <c r="B16" s="591"/>
      <c r="C16" s="200">
        <v>12</v>
      </c>
      <c r="D16" s="61" t="s">
        <v>636</v>
      </c>
      <c r="E16" s="61" t="s">
        <v>281</v>
      </c>
      <c r="F16" s="61" t="s">
        <v>635</v>
      </c>
      <c r="G16" s="210">
        <v>20000</v>
      </c>
      <c r="H16" s="231">
        <v>0</v>
      </c>
      <c r="I16" s="231">
        <v>0</v>
      </c>
      <c r="J16" s="231">
        <f t="shared" ref="J16:J23" si="1">H16+I16</f>
        <v>0</v>
      </c>
      <c r="K16" s="151">
        <f t="shared" ref="K16:K21" si="2">J16-G16</f>
        <v>-20000</v>
      </c>
      <c r="L16" s="152">
        <f t="shared" ref="L16:L24" si="3">IFERROR(K16/G16*100,0)</f>
        <v>-100</v>
      </c>
      <c r="M16" s="152" t="s">
        <v>371</v>
      </c>
      <c r="N16" s="153"/>
      <c r="O16" s="154">
        <f t="shared" ref="O16:O24" si="4">IFERROR(N16/J16*100,)</f>
        <v>0</v>
      </c>
      <c r="P16" s="61" t="s">
        <v>637</v>
      </c>
      <c r="Z16" s="3"/>
      <c r="AA16" s="118"/>
      <c r="AB16" s="116"/>
      <c r="AC16" s="116"/>
      <c r="AD16" s="116"/>
      <c r="AE16" s="116"/>
      <c r="AF16" s="116"/>
      <c r="AG16" s="3"/>
      <c r="AH16" s="3"/>
      <c r="AI16" s="3"/>
      <c r="AJ16" s="3"/>
      <c r="AZ16" s="188"/>
      <c r="BA16" s="188" t="s">
        <v>371</v>
      </c>
    </row>
    <row r="17" spans="1:36" ht="28.5" hidden="1" x14ac:dyDescent="0.4">
      <c r="A17" s="590"/>
      <c r="B17" s="591"/>
      <c r="C17" s="200"/>
      <c r="D17" s="61"/>
      <c r="E17" s="61"/>
      <c r="F17" s="61"/>
      <c r="G17" s="231"/>
      <c r="H17" s="231"/>
      <c r="I17" s="231"/>
      <c r="J17" s="231">
        <f t="shared" si="1"/>
        <v>0</v>
      </c>
      <c r="K17" s="151">
        <f t="shared" si="2"/>
        <v>0</v>
      </c>
      <c r="L17" s="152">
        <f t="shared" si="3"/>
        <v>0</v>
      </c>
      <c r="M17" s="152"/>
      <c r="N17" s="153"/>
      <c r="O17" s="154">
        <f t="shared" si="4"/>
        <v>0</v>
      </c>
      <c r="P17" s="155"/>
      <c r="Z17" s="3"/>
      <c r="AA17" s="118"/>
      <c r="AB17" s="116"/>
      <c r="AC17" s="116"/>
      <c r="AD17" s="116"/>
      <c r="AE17" s="116"/>
      <c r="AF17" s="116"/>
      <c r="AG17" s="3"/>
      <c r="AH17" s="3"/>
      <c r="AI17" s="3"/>
      <c r="AJ17" s="3"/>
    </row>
    <row r="18" spans="1:36" ht="28.5" hidden="1" x14ac:dyDescent="0.4">
      <c r="A18" s="590"/>
      <c r="B18" s="591"/>
      <c r="C18" s="200"/>
      <c r="D18" s="61"/>
      <c r="E18" s="61"/>
      <c r="F18" s="61"/>
      <c r="G18" s="232"/>
      <c r="H18" s="231"/>
      <c r="I18" s="231"/>
      <c r="J18" s="231">
        <f t="shared" si="1"/>
        <v>0</v>
      </c>
      <c r="K18" s="151">
        <f t="shared" si="2"/>
        <v>0</v>
      </c>
      <c r="L18" s="152">
        <f t="shared" si="3"/>
        <v>0</v>
      </c>
      <c r="M18" s="152"/>
      <c r="N18" s="153"/>
      <c r="O18" s="154">
        <f t="shared" si="4"/>
        <v>0</v>
      </c>
      <c r="P18" s="155"/>
      <c r="Z18" s="3"/>
      <c r="AA18" s="118"/>
      <c r="AB18" s="116"/>
      <c r="AC18" s="116"/>
      <c r="AD18" s="116"/>
      <c r="AE18" s="116"/>
      <c r="AF18" s="116"/>
      <c r="AG18" s="3"/>
      <c r="AH18" s="3"/>
      <c r="AI18" s="3"/>
      <c r="AJ18" s="3"/>
    </row>
    <row r="19" spans="1:36" ht="28.5" hidden="1" x14ac:dyDescent="0.25">
      <c r="A19" s="590"/>
      <c r="B19" s="591"/>
      <c r="C19" s="200"/>
      <c r="D19" s="61"/>
      <c r="E19" s="61"/>
      <c r="F19" s="61"/>
      <c r="G19" s="233"/>
      <c r="H19" s="231"/>
      <c r="I19" s="231"/>
      <c r="J19" s="231">
        <f t="shared" si="1"/>
        <v>0</v>
      </c>
      <c r="K19" s="151">
        <f t="shared" si="2"/>
        <v>0</v>
      </c>
      <c r="L19" s="152">
        <f t="shared" si="3"/>
        <v>0</v>
      </c>
      <c r="M19" s="152"/>
      <c r="N19" s="153"/>
      <c r="O19" s="154">
        <f t="shared" si="4"/>
        <v>0</v>
      </c>
      <c r="P19" s="155"/>
      <c r="Z19" s="3"/>
      <c r="AA19" s="3"/>
      <c r="AB19" s="3"/>
      <c r="AC19" s="3"/>
      <c r="AD19" s="3"/>
      <c r="AE19" s="3"/>
      <c r="AF19" s="3"/>
      <c r="AG19" s="3"/>
      <c r="AH19" s="3"/>
      <c r="AI19" s="3"/>
      <c r="AJ19" s="3"/>
    </row>
    <row r="20" spans="1:36" ht="55.5" hidden="1" customHeight="1" x14ac:dyDescent="0.25">
      <c r="A20" s="590"/>
      <c r="B20" s="591"/>
      <c r="C20" s="61"/>
      <c r="D20" s="61"/>
      <c r="E20" s="61"/>
      <c r="F20" s="61"/>
      <c r="G20" s="231"/>
      <c r="H20" s="231"/>
      <c r="I20" s="231"/>
      <c r="J20" s="231">
        <f t="shared" si="1"/>
        <v>0</v>
      </c>
      <c r="K20" s="151">
        <f t="shared" si="2"/>
        <v>0</v>
      </c>
      <c r="L20" s="152">
        <f t="shared" si="3"/>
        <v>0</v>
      </c>
      <c r="M20" s="152"/>
      <c r="N20" s="153"/>
      <c r="O20" s="154">
        <f t="shared" si="4"/>
        <v>0</v>
      </c>
      <c r="P20" s="155"/>
      <c r="Z20" s="3"/>
      <c r="AA20" s="3"/>
      <c r="AB20" s="3"/>
      <c r="AC20" s="3"/>
      <c r="AD20" s="3"/>
      <c r="AE20" s="3"/>
      <c r="AF20" s="3"/>
      <c r="AG20" s="3"/>
      <c r="AH20" s="3"/>
      <c r="AI20" s="3"/>
      <c r="AJ20" s="3"/>
    </row>
    <row r="21" spans="1:36" ht="55.5" hidden="1" customHeight="1" x14ac:dyDescent="0.25">
      <c r="A21" s="590"/>
      <c r="B21" s="591"/>
      <c r="C21" s="61"/>
      <c r="D21" s="61"/>
      <c r="E21" s="61"/>
      <c r="F21" s="61"/>
      <c r="G21" s="231"/>
      <c r="H21" s="231"/>
      <c r="I21" s="231"/>
      <c r="J21" s="231">
        <f t="shared" si="1"/>
        <v>0</v>
      </c>
      <c r="K21" s="151">
        <f t="shared" si="2"/>
        <v>0</v>
      </c>
      <c r="L21" s="152">
        <f t="shared" si="3"/>
        <v>0</v>
      </c>
      <c r="M21" s="152"/>
      <c r="N21" s="153"/>
      <c r="O21" s="154">
        <f t="shared" si="4"/>
        <v>0</v>
      </c>
      <c r="P21" s="155"/>
      <c r="AA21" s="178"/>
    </row>
    <row r="22" spans="1:36" ht="55.5" hidden="1" customHeight="1" x14ac:dyDescent="0.25">
      <c r="A22" s="590"/>
      <c r="B22" s="591"/>
      <c r="C22" s="61"/>
      <c r="D22" s="61"/>
      <c r="E22" s="61"/>
      <c r="F22" s="61"/>
      <c r="G22" s="231"/>
      <c r="H22" s="231"/>
      <c r="I22" s="231"/>
      <c r="J22" s="231">
        <f t="shared" si="1"/>
        <v>0</v>
      </c>
      <c r="K22" s="151">
        <f t="shared" ref="K22" si="5">J22-G22</f>
        <v>0</v>
      </c>
      <c r="L22" s="152">
        <f t="shared" si="3"/>
        <v>0</v>
      </c>
      <c r="M22" s="152"/>
      <c r="N22" s="153"/>
      <c r="O22" s="154">
        <f t="shared" si="4"/>
        <v>0</v>
      </c>
      <c r="P22" s="155"/>
    </row>
    <row r="23" spans="1:36" ht="55.5" hidden="1" customHeight="1" x14ac:dyDescent="0.25">
      <c r="A23" s="590"/>
      <c r="B23" s="591"/>
      <c r="C23" s="61"/>
      <c r="D23" s="61"/>
      <c r="E23" s="61"/>
      <c r="F23" s="61"/>
      <c r="G23" s="231"/>
      <c r="H23" s="231"/>
      <c r="I23" s="231"/>
      <c r="J23" s="231">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234">
        <f>SUM(G14:G23)</f>
        <v>90000</v>
      </c>
      <c r="H24" s="234">
        <f>SUM(H14:H23)</f>
        <v>4793.78</v>
      </c>
      <c r="I24" s="234">
        <f>SUM(I14:I23)</f>
        <v>20226.22</v>
      </c>
      <c r="J24" s="234">
        <f>SUM(J14:J23)</f>
        <v>25020</v>
      </c>
      <c r="K24" s="156">
        <f>J24-G24</f>
        <v>-64980</v>
      </c>
      <c r="L24" s="156">
        <f t="shared" si="3"/>
        <v>-72.2</v>
      </c>
      <c r="M24" s="156"/>
      <c r="N24" s="157">
        <f>SUM(N14:N23)</f>
        <v>0</v>
      </c>
      <c r="O24" s="156">
        <f t="shared" si="4"/>
        <v>0</v>
      </c>
      <c r="P24" s="158"/>
    </row>
    <row r="25" spans="1:36" ht="19.5" x14ac:dyDescent="0.3">
      <c r="A25" s="1"/>
      <c r="B25" s="1"/>
      <c r="C25" s="1"/>
      <c r="D25" s="1"/>
      <c r="E25" s="1"/>
      <c r="F25" s="1"/>
      <c r="G25" s="235">
        <f>'Quadro Geral'!J22</f>
        <v>90000</v>
      </c>
      <c r="H25" s="235">
        <f>'Quadro Geral'!K22</f>
        <v>4793.78</v>
      </c>
      <c r="I25" s="235">
        <f>'Quadro Geral'!L22</f>
        <v>20226.22</v>
      </c>
      <c r="J25" s="235">
        <f>'Quadro Geral'!M22</f>
        <v>25020</v>
      </c>
      <c r="K25" s="1"/>
      <c r="L25" s="1"/>
      <c r="M25" s="1"/>
      <c r="N25" s="1"/>
      <c r="O25" s="1"/>
      <c r="P25" s="1"/>
    </row>
    <row r="26" spans="1:36" x14ac:dyDescent="0.4">
      <c r="A26" s="306" t="s">
        <v>296</v>
      </c>
      <c r="B26" s="306"/>
      <c r="C26" s="306"/>
      <c r="D26" s="306"/>
      <c r="E26" s="306"/>
      <c r="F26" s="306"/>
      <c r="G26" s="306" t="b">
        <f>G24=G25</f>
        <v>1</v>
      </c>
      <c r="H26" s="306" t="b">
        <f t="shared" ref="H26:J26" si="6">H24=H25</f>
        <v>1</v>
      </c>
      <c r="I26" s="306" t="b">
        <f t="shared" si="6"/>
        <v>1</v>
      </c>
      <c r="J26" s="306" t="b">
        <f t="shared" si="6"/>
        <v>1</v>
      </c>
      <c r="K26" s="306"/>
      <c r="L26" s="306"/>
      <c r="M26" s="306"/>
      <c r="N26" s="306"/>
      <c r="O26" s="306"/>
      <c r="P26" s="306"/>
    </row>
    <row r="27" spans="1:36" ht="36" customHeight="1" x14ac:dyDescent="0.25">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t="15" hidden="1" x14ac:dyDescent="0.25">
      <c r="A36" s="598" t="s">
        <v>387</v>
      </c>
      <c r="B36" s="599"/>
      <c r="C36" s="599"/>
      <c r="D36" s="599"/>
      <c r="E36" s="599"/>
      <c r="F36" s="599"/>
      <c r="G36" s="599"/>
      <c r="H36" s="599"/>
      <c r="I36" s="599"/>
      <c r="J36" s="599"/>
      <c r="K36" s="599"/>
      <c r="L36" s="599"/>
      <c r="M36" s="599"/>
      <c r="N36" s="599"/>
      <c r="O36" s="599"/>
      <c r="P36" s="600"/>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1.5"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374.25" customHeight="1" thickBot="1" x14ac:dyDescent="0.3">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1">
    <mergeCell ref="A6:P6"/>
    <mergeCell ref="A7:P7"/>
    <mergeCell ref="A8:F8"/>
    <mergeCell ref="G8:P8"/>
    <mergeCell ref="A9:F9"/>
    <mergeCell ref="G9:P9"/>
    <mergeCell ref="A24:F24"/>
    <mergeCell ref="P11:P13"/>
    <mergeCell ref="C12:E12"/>
    <mergeCell ref="F12:F13"/>
    <mergeCell ref="G12:G13"/>
    <mergeCell ref="H12:J12"/>
    <mergeCell ref="K12:K13"/>
    <mergeCell ref="L12:L13"/>
    <mergeCell ref="N12:N13"/>
    <mergeCell ref="O12:O13"/>
    <mergeCell ref="N11:O11"/>
    <mergeCell ref="A11:B13"/>
    <mergeCell ref="C11:F11"/>
    <mergeCell ref="G11:J11"/>
    <mergeCell ref="K11:L11"/>
    <mergeCell ref="M11:M13"/>
    <mergeCell ref="A19:B19"/>
    <mergeCell ref="A20:B20"/>
    <mergeCell ref="A21:B21"/>
    <mergeCell ref="A22:B22"/>
    <mergeCell ref="A23:B23"/>
    <mergeCell ref="Q14:W14"/>
    <mergeCell ref="A15:B15"/>
    <mergeCell ref="A16:B16"/>
    <mergeCell ref="A17:B17"/>
    <mergeCell ref="A18:B18"/>
    <mergeCell ref="C33:F33"/>
    <mergeCell ref="A35:P35"/>
    <mergeCell ref="A36:P84"/>
    <mergeCell ref="A27:P27"/>
    <mergeCell ref="A28:P28"/>
    <mergeCell ref="A29:F29"/>
    <mergeCell ref="C30:F30"/>
    <mergeCell ref="C31:F31"/>
    <mergeCell ref="C32:F32"/>
  </mergeCells>
  <dataValidations count="2">
    <dataValidation type="list" allowBlank="1" showInputMessage="1" showErrorMessage="1" sqref="M15:M23">
      <formula1>$BA$13:$BA$16</formula1>
    </dataValidation>
    <dataValidation type="list" allowBlank="1" showInputMessage="1" showErrorMessage="1" sqref="BA13:BA15">
      <formula1>$BA$13:$BA$15</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[3]Resumo!#REF!</xm:f>
          </x14:formula1>
          <xm:sqref>E15:E19</xm:sqref>
        </x14:dataValidation>
        <x14:dataValidation type="list" allowBlank="1" showInputMessage="1" showErrorMessage="1">
          <x14:formula1>
            <xm:f>'AÇÕES ESTRATÉGICAS - DESCRIÇÃO '!$C$2:$C$22</xm:f>
          </x14:formula1>
          <xm:sqref>E20:E23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5:BA84"/>
  <sheetViews>
    <sheetView showGridLines="0" topLeftCell="A3" zoomScale="40" zoomScaleNormal="40" zoomScaleSheetLayoutView="80" workbookViewId="0">
      <selection activeCell="C15" sqref="C15"/>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27.7109375" style="1" bestFit="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444</v>
      </c>
      <c r="H8" s="570"/>
      <c r="I8" s="570"/>
      <c r="J8" s="570"/>
      <c r="K8" s="570"/>
      <c r="L8" s="570"/>
      <c r="M8" s="570"/>
      <c r="N8" s="570"/>
      <c r="O8" s="570"/>
      <c r="P8" s="571"/>
      <c r="Q8" s="307" t="b">
        <f>G8='Quadro Geral'!E23</f>
        <v>1</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640</v>
      </c>
      <c r="H9" s="570"/>
      <c r="I9" s="570"/>
      <c r="J9" s="570"/>
      <c r="K9" s="570"/>
      <c r="L9" s="570"/>
      <c r="M9" s="570"/>
      <c r="N9" s="570"/>
      <c r="O9" s="570"/>
      <c r="P9" s="571"/>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198" t="s">
        <v>289</v>
      </c>
      <c r="D13" s="199" t="s">
        <v>288</v>
      </c>
      <c r="E13" s="130" t="s">
        <v>217</v>
      </c>
      <c r="F13" s="582"/>
      <c r="G13" s="582"/>
      <c r="H13" s="198" t="s">
        <v>373</v>
      </c>
      <c r="I13" s="198" t="s">
        <v>374</v>
      </c>
      <c r="J13" s="198"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157.5" x14ac:dyDescent="0.5">
      <c r="A15" s="590" t="s">
        <v>512</v>
      </c>
      <c r="B15" s="591"/>
      <c r="C15" s="204">
        <v>1</v>
      </c>
      <c r="D15" s="201" t="s">
        <v>638</v>
      </c>
      <c r="E15" s="61" t="s">
        <v>281</v>
      </c>
      <c r="F15" s="201" t="s">
        <v>639</v>
      </c>
      <c r="G15" s="231">
        <v>100000</v>
      </c>
      <c r="H15" s="231">
        <v>0</v>
      </c>
      <c r="I15" s="231">
        <v>50000</v>
      </c>
      <c r="J15" s="231">
        <f>H15+I15</f>
        <v>50000</v>
      </c>
      <c r="K15" s="151">
        <f>J15-G15</f>
        <v>-50000</v>
      </c>
      <c r="L15" s="152">
        <f>IFERROR(K15/G15*100,0)</f>
        <v>-50</v>
      </c>
      <c r="M15" s="152" t="s">
        <v>371</v>
      </c>
      <c r="N15" s="153"/>
      <c r="O15" s="154">
        <f>IFERROR(N15/J15*100,)</f>
        <v>0</v>
      </c>
      <c r="P15" s="61" t="s">
        <v>637</v>
      </c>
      <c r="Z15" s="3"/>
      <c r="AA15" s="118"/>
      <c r="AB15" s="116"/>
      <c r="AC15" s="116"/>
      <c r="AD15" s="116"/>
      <c r="AE15" s="116"/>
      <c r="AF15" s="116"/>
      <c r="AG15" s="3"/>
      <c r="AH15" s="3"/>
      <c r="AI15" s="3"/>
      <c r="AJ15" s="3"/>
      <c r="AZ15" s="188"/>
      <c r="BA15" s="188" t="s">
        <v>213</v>
      </c>
    </row>
    <row r="16" spans="1:53" ht="33.75" hidden="1" x14ac:dyDescent="0.5">
      <c r="A16" s="590"/>
      <c r="B16" s="591"/>
      <c r="C16" s="200"/>
      <c r="D16" s="201"/>
      <c r="E16" s="61"/>
      <c r="F16" s="61"/>
      <c r="G16" s="231"/>
      <c r="H16" s="231"/>
      <c r="I16" s="231"/>
      <c r="J16" s="231">
        <f t="shared" ref="J16:J23" si="1">H16+I16</f>
        <v>0</v>
      </c>
      <c r="K16" s="151">
        <f t="shared" ref="K16:K22" si="2">J16-G16</f>
        <v>0</v>
      </c>
      <c r="L16" s="152">
        <f t="shared" ref="L16:L24" si="3">IFERROR(K16/G16*100,0)</f>
        <v>0</v>
      </c>
      <c r="M16" s="152"/>
      <c r="N16" s="153"/>
      <c r="O16" s="154">
        <f t="shared" ref="O16:O24" si="4">IFERROR(N16/J16*100,)</f>
        <v>0</v>
      </c>
      <c r="P16" s="155"/>
      <c r="Z16" s="3"/>
      <c r="AA16" s="118"/>
      <c r="AB16" s="116"/>
      <c r="AC16" s="116"/>
      <c r="AD16" s="116"/>
      <c r="AE16" s="116"/>
      <c r="AF16" s="116"/>
      <c r="AG16" s="3"/>
      <c r="AH16" s="3"/>
      <c r="AI16" s="3"/>
      <c r="AJ16" s="3"/>
      <c r="AZ16" s="188"/>
      <c r="BA16" s="188" t="s">
        <v>371</v>
      </c>
    </row>
    <row r="17" spans="1:36" ht="28.5" hidden="1" x14ac:dyDescent="0.4">
      <c r="A17" s="590"/>
      <c r="B17" s="591"/>
      <c r="C17" s="200"/>
      <c r="D17" s="61"/>
      <c r="E17" s="61"/>
      <c r="F17" s="61"/>
      <c r="G17" s="231"/>
      <c r="H17" s="231"/>
      <c r="I17" s="231"/>
      <c r="J17" s="231">
        <f t="shared" si="1"/>
        <v>0</v>
      </c>
      <c r="K17" s="151">
        <f t="shared" si="2"/>
        <v>0</v>
      </c>
      <c r="L17" s="152">
        <f t="shared" si="3"/>
        <v>0</v>
      </c>
      <c r="M17" s="152"/>
      <c r="N17" s="153"/>
      <c r="O17" s="154">
        <f t="shared" si="4"/>
        <v>0</v>
      </c>
      <c r="P17" s="155"/>
      <c r="Z17" s="3"/>
      <c r="AA17" s="118"/>
      <c r="AB17" s="116"/>
      <c r="AC17" s="116"/>
      <c r="AD17" s="116"/>
      <c r="AE17" s="116"/>
      <c r="AF17" s="116"/>
      <c r="AG17" s="3"/>
      <c r="AH17" s="3"/>
      <c r="AI17" s="3"/>
      <c r="AJ17" s="3"/>
    </row>
    <row r="18" spans="1:36" ht="28.5" hidden="1" x14ac:dyDescent="0.4">
      <c r="A18" s="590"/>
      <c r="B18" s="591"/>
      <c r="C18" s="200"/>
      <c r="D18" s="61"/>
      <c r="E18" s="61"/>
      <c r="F18" s="61"/>
      <c r="G18" s="232"/>
      <c r="H18" s="231"/>
      <c r="I18" s="231"/>
      <c r="J18" s="231">
        <f t="shared" si="1"/>
        <v>0</v>
      </c>
      <c r="K18" s="151">
        <f t="shared" si="2"/>
        <v>0</v>
      </c>
      <c r="L18" s="152">
        <f t="shared" si="3"/>
        <v>0</v>
      </c>
      <c r="M18" s="152"/>
      <c r="N18" s="153"/>
      <c r="O18" s="154">
        <f t="shared" si="4"/>
        <v>0</v>
      </c>
      <c r="P18" s="155"/>
      <c r="Z18" s="3"/>
      <c r="AA18" s="118"/>
      <c r="AB18" s="116"/>
      <c r="AC18" s="116"/>
      <c r="AD18" s="116"/>
      <c r="AE18" s="116"/>
      <c r="AF18" s="116"/>
      <c r="AG18" s="3"/>
      <c r="AH18" s="3"/>
      <c r="AI18" s="3"/>
      <c r="AJ18" s="3"/>
    </row>
    <row r="19" spans="1:36" ht="28.5" hidden="1" x14ac:dyDescent="0.25">
      <c r="A19" s="590"/>
      <c r="B19" s="591"/>
      <c r="C19" s="200"/>
      <c r="D19" s="61"/>
      <c r="E19" s="61"/>
      <c r="F19" s="61"/>
      <c r="G19" s="233"/>
      <c r="H19" s="231"/>
      <c r="I19" s="231"/>
      <c r="J19" s="231">
        <f t="shared" si="1"/>
        <v>0</v>
      </c>
      <c r="K19" s="151">
        <f t="shared" si="2"/>
        <v>0</v>
      </c>
      <c r="L19" s="152">
        <f t="shared" si="3"/>
        <v>0</v>
      </c>
      <c r="M19" s="152"/>
      <c r="N19" s="153"/>
      <c r="O19" s="154">
        <f t="shared" si="4"/>
        <v>0</v>
      </c>
      <c r="P19" s="155"/>
      <c r="Z19" s="3"/>
      <c r="AA19" s="3"/>
      <c r="AB19" s="3"/>
      <c r="AC19" s="3"/>
      <c r="AD19" s="3"/>
      <c r="AE19" s="3"/>
      <c r="AF19" s="3"/>
      <c r="AG19" s="3"/>
      <c r="AH19" s="3"/>
      <c r="AI19" s="3"/>
      <c r="AJ19" s="3"/>
    </row>
    <row r="20" spans="1:36" ht="55.5" hidden="1" customHeight="1" x14ac:dyDescent="0.25">
      <c r="A20" s="590"/>
      <c r="B20" s="591"/>
      <c r="C20" s="61"/>
      <c r="D20" s="61"/>
      <c r="E20" s="61"/>
      <c r="F20" s="61"/>
      <c r="G20" s="231"/>
      <c r="H20" s="231"/>
      <c r="I20" s="231"/>
      <c r="J20" s="231">
        <f t="shared" si="1"/>
        <v>0</v>
      </c>
      <c r="K20" s="151">
        <f t="shared" si="2"/>
        <v>0</v>
      </c>
      <c r="L20" s="152">
        <f t="shared" si="3"/>
        <v>0</v>
      </c>
      <c r="M20" s="152"/>
      <c r="N20" s="153"/>
      <c r="O20" s="154">
        <f t="shared" si="4"/>
        <v>0</v>
      </c>
      <c r="P20" s="155"/>
      <c r="Z20" s="3"/>
      <c r="AA20" s="3"/>
      <c r="AB20" s="3"/>
      <c r="AC20" s="3"/>
      <c r="AD20" s="3"/>
      <c r="AE20" s="3"/>
      <c r="AF20" s="3"/>
      <c r="AG20" s="3"/>
      <c r="AH20" s="3"/>
      <c r="AI20" s="3"/>
      <c r="AJ20" s="3"/>
    </row>
    <row r="21" spans="1:36" ht="55.5" hidden="1" customHeight="1" x14ac:dyDescent="0.25">
      <c r="A21" s="590"/>
      <c r="B21" s="591"/>
      <c r="C21" s="61"/>
      <c r="D21" s="61"/>
      <c r="E21" s="61"/>
      <c r="F21" s="61"/>
      <c r="G21" s="231"/>
      <c r="H21" s="231"/>
      <c r="I21" s="231"/>
      <c r="J21" s="231">
        <f t="shared" si="1"/>
        <v>0</v>
      </c>
      <c r="K21" s="151">
        <f t="shared" si="2"/>
        <v>0</v>
      </c>
      <c r="L21" s="152">
        <f t="shared" si="3"/>
        <v>0</v>
      </c>
      <c r="M21" s="152"/>
      <c r="N21" s="153"/>
      <c r="O21" s="154">
        <f t="shared" si="4"/>
        <v>0</v>
      </c>
      <c r="P21" s="155"/>
      <c r="AA21" s="178"/>
    </row>
    <row r="22" spans="1:36" ht="55.5" hidden="1" customHeight="1" x14ac:dyDescent="0.25">
      <c r="A22" s="590"/>
      <c r="B22" s="591"/>
      <c r="C22" s="61"/>
      <c r="D22" s="61"/>
      <c r="E22" s="61"/>
      <c r="F22" s="61"/>
      <c r="G22" s="231"/>
      <c r="H22" s="231"/>
      <c r="I22" s="231"/>
      <c r="J22" s="231">
        <f t="shared" si="1"/>
        <v>0</v>
      </c>
      <c r="K22" s="151">
        <f t="shared" si="2"/>
        <v>0</v>
      </c>
      <c r="L22" s="152">
        <f t="shared" si="3"/>
        <v>0</v>
      </c>
      <c r="M22" s="152"/>
      <c r="N22" s="153"/>
      <c r="O22" s="154">
        <f t="shared" si="4"/>
        <v>0</v>
      </c>
      <c r="P22" s="155"/>
    </row>
    <row r="23" spans="1:36" ht="55.5" hidden="1" customHeight="1" x14ac:dyDescent="0.25">
      <c r="A23" s="590"/>
      <c r="B23" s="591"/>
      <c r="C23" s="61"/>
      <c r="D23" s="61"/>
      <c r="E23" s="61"/>
      <c r="F23" s="61"/>
      <c r="G23" s="231"/>
      <c r="H23" s="231"/>
      <c r="I23" s="231"/>
      <c r="J23" s="231">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234">
        <f>SUM(G14:G23)</f>
        <v>100000</v>
      </c>
      <c r="H24" s="234">
        <f>SUM(H14:H23)</f>
        <v>0</v>
      </c>
      <c r="I24" s="234">
        <f>SUM(I14:I23)</f>
        <v>50000</v>
      </c>
      <c r="J24" s="234">
        <f>SUM(J14:J23)</f>
        <v>50000</v>
      </c>
      <c r="K24" s="156">
        <f>J24-G24</f>
        <v>-50000</v>
      </c>
      <c r="L24" s="156">
        <f t="shared" si="3"/>
        <v>-50</v>
      </c>
      <c r="M24" s="156"/>
      <c r="N24" s="157">
        <f>SUM(N14:N23)</f>
        <v>0</v>
      </c>
      <c r="O24" s="156">
        <f t="shared" si="4"/>
        <v>0</v>
      </c>
      <c r="P24" s="158"/>
    </row>
    <row r="25" spans="1:36" ht="19.5" x14ac:dyDescent="0.3">
      <c r="A25" s="1"/>
      <c r="B25" s="1"/>
      <c r="C25" s="1"/>
      <c r="D25" s="1"/>
      <c r="E25" s="1"/>
      <c r="F25" s="1"/>
      <c r="G25" s="235">
        <f>'Quadro Geral'!J23</f>
        <v>100000</v>
      </c>
      <c r="H25" s="235">
        <f>'Quadro Geral'!K23</f>
        <v>0</v>
      </c>
      <c r="I25" s="235">
        <f>'Quadro Geral'!L23</f>
        <v>50000</v>
      </c>
      <c r="J25" s="235">
        <f>'Quadro Geral'!M23</f>
        <v>50000</v>
      </c>
      <c r="K25" s="1"/>
      <c r="L25" s="1"/>
      <c r="M25" s="1"/>
      <c r="N25" s="1"/>
      <c r="O25" s="1"/>
      <c r="P25" s="1"/>
    </row>
    <row r="26" spans="1:36" x14ac:dyDescent="0.4">
      <c r="A26" s="306" t="s">
        <v>296</v>
      </c>
      <c r="B26" s="306"/>
      <c r="C26" s="306"/>
      <c r="D26" s="306"/>
      <c r="E26" s="306"/>
      <c r="F26" s="306"/>
      <c r="G26" s="306" t="b">
        <f>G24=G25</f>
        <v>1</v>
      </c>
      <c r="H26" s="306" t="b">
        <f t="shared" ref="H26:J26" si="5">H24=H25</f>
        <v>1</v>
      </c>
      <c r="I26" s="306" t="b">
        <f t="shared" si="5"/>
        <v>1</v>
      </c>
      <c r="J26" s="306" t="b">
        <f t="shared" si="5"/>
        <v>1</v>
      </c>
      <c r="K26" s="306"/>
      <c r="L26" s="306"/>
      <c r="M26" s="306"/>
      <c r="N26" s="306"/>
      <c r="O26" s="306"/>
      <c r="P26" s="306"/>
    </row>
    <row r="27" spans="1:36" ht="36" customHeight="1" x14ac:dyDescent="0.25">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t="15" hidden="1" x14ac:dyDescent="0.25">
      <c r="A36" s="598" t="s">
        <v>387</v>
      </c>
      <c r="B36" s="599"/>
      <c r="C36" s="599"/>
      <c r="D36" s="599"/>
      <c r="E36" s="599"/>
      <c r="F36" s="599"/>
      <c r="G36" s="599"/>
      <c r="H36" s="599"/>
      <c r="I36" s="599"/>
      <c r="J36" s="599"/>
      <c r="K36" s="599"/>
      <c r="L36" s="599"/>
      <c r="M36" s="599"/>
      <c r="N36" s="599"/>
      <c r="O36" s="599"/>
      <c r="P36" s="600"/>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1.5"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374.25" customHeight="1" thickBot="1" x14ac:dyDescent="0.3">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1">
    <mergeCell ref="A6:P6"/>
    <mergeCell ref="A7:P7"/>
    <mergeCell ref="A8:F8"/>
    <mergeCell ref="G8:P8"/>
    <mergeCell ref="A9:F9"/>
    <mergeCell ref="G9:P9"/>
    <mergeCell ref="A24:F24"/>
    <mergeCell ref="P11:P13"/>
    <mergeCell ref="C12:E12"/>
    <mergeCell ref="F12:F13"/>
    <mergeCell ref="G12:G13"/>
    <mergeCell ref="H12:J12"/>
    <mergeCell ref="K12:K13"/>
    <mergeCell ref="L12:L13"/>
    <mergeCell ref="N12:N13"/>
    <mergeCell ref="O12:O13"/>
    <mergeCell ref="N11:O11"/>
    <mergeCell ref="A11:B13"/>
    <mergeCell ref="C11:F11"/>
    <mergeCell ref="G11:J11"/>
    <mergeCell ref="K11:L11"/>
    <mergeCell ref="M11:M13"/>
    <mergeCell ref="A19:B19"/>
    <mergeCell ref="A20:B20"/>
    <mergeCell ref="A21:B21"/>
    <mergeCell ref="A22:B22"/>
    <mergeCell ref="A23:B23"/>
    <mergeCell ref="Q14:W14"/>
    <mergeCell ref="A15:B15"/>
    <mergeCell ref="A16:B16"/>
    <mergeCell ref="A17:B17"/>
    <mergeCell ref="A18:B18"/>
    <mergeCell ref="C33:F33"/>
    <mergeCell ref="A35:P35"/>
    <mergeCell ref="A36:P84"/>
    <mergeCell ref="A27:P27"/>
    <mergeCell ref="A28:P28"/>
    <mergeCell ref="A29:F29"/>
    <mergeCell ref="C30:F30"/>
    <mergeCell ref="C31:F31"/>
    <mergeCell ref="C32:F32"/>
  </mergeCells>
  <dataValidations count="2">
    <dataValidation type="list" allowBlank="1" showInputMessage="1" showErrorMessage="1" sqref="M15:M23">
      <formula1>$BA$13:$BA$16</formula1>
    </dataValidation>
    <dataValidation type="list" allowBlank="1" showInputMessage="1" showErrorMessage="1" sqref="BA13:BA15">
      <formula1>$BA$13:$BA$15</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[3]Resumo!#REF!</xm:f>
          </x14:formula1>
          <xm:sqref>E15:E19</xm:sqref>
        </x14:dataValidation>
        <x14:dataValidation type="list" allowBlank="1" showInputMessage="1" showErrorMessage="1">
          <x14:formula1>
            <xm:f>'AÇÕES ESTRATÉGICAS - DESCRIÇÃO '!$C$2:$C$22</xm:f>
          </x14:formula1>
          <xm:sqref>E20:E23</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BA84"/>
  <sheetViews>
    <sheetView showGridLines="0" topLeftCell="A24" zoomScale="40" zoomScaleNormal="40" zoomScaleSheetLayoutView="80" workbookViewId="0">
      <selection activeCell="G26" sqref="G26:J26"/>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27.7109375" style="1" bestFit="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450</v>
      </c>
      <c r="H8" s="570"/>
      <c r="I8" s="570"/>
      <c r="J8" s="570"/>
      <c r="K8" s="570"/>
      <c r="L8" s="570"/>
      <c r="M8" s="570"/>
      <c r="N8" s="570"/>
      <c r="O8" s="570"/>
      <c r="P8" s="571"/>
      <c r="Q8" s="307" t="b">
        <f>G8='Quadro Geral'!E26</f>
        <v>1</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526</v>
      </c>
      <c r="H9" s="570"/>
      <c r="I9" s="570"/>
      <c r="J9" s="570"/>
      <c r="K9" s="570"/>
      <c r="L9" s="570"/>
      <c r="M9" s="570"/>
      <c r="N9" s="570"/>
      <c r="O9" s="570"/>
      <c r="P9" s="571"/>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198" t="s">
        <v>289</v>
      </c>
      <c r="D13" s="199" t="s">
        <v>288</v>
      </c>
      <c r="E13" s="130" t="s">
        <v>217</v>
      </c>
      <c r="F13" s="582"/>
      <c r="G13" s="582"/>
      <c r="H13" s="198" t="s">
        <v>373</v>
      </c>
      <c r="I13" s="198" t="s">
        <v>374</v>
      </c>
      <c r="J13" s="198"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131.25" x14ac:dyDescent="0.5">
      <c r="A15" s="590" t="s">
        <v>512</v>
      </c>
      <c r="B15" s="591"/>
      <c r="C15" s="61">
        <v>12</v>
      </c>
      <c r="D15" s="61" t="s">
        <v>641</v>
      </c>
      <c r="E15" s="61" t="s">
        <v>281</v>
      </c>
      <c r="F15" s="61" t="s">
        <v>642</v>
      </c>
      <c r="G15" s="210">
        <v>70882</v>
      </c>
      <c r="H15" s="231">
        <v>26580.82</v>
      </c>
      <c r="I15" s="231">
        <v>17720.55</v>
      </c>
      <c r="J15" s="231">
        <f>H15+I15</f>
        <v>44301.369999999995</v>
      </c>
      <c r="K15" s="151">
        <f>J15-G15</f>
        <v>-26580.630000000005</v>
      </c>
      <c r="L15" s="152">
        <f>IFERROR(K15/G15*100,0)</f>
        <v>-37.499830704551236</v>
      </c>
      <c r="M15" s="152" t="s">
        <v>371</v>
      </c>
      <c r="N15" s="153"/>
      <c r="O15" s="154">
        <f>IFERROR(N15/J15*100,)</f>
        <v>0</v>
      </c>
      <c r="P15" s="61" t="s">
        <v>643</v>
      </c>
      <c r="Z15" s="3"/>
      <c r="AA15" s="118"/>
      <c r="AB15" s="116"/>
      <c r="AC15" s="116"/>
      <c r="AD15" s="116"/>
      <c r="AE15" s="116"/>
      <c r="AF15" s="116"/>
      <c r="AG15" s="3"/>
      <c r="AH15" s="3"/>
      <c r="AI15" s="3"/>
      <c r="AJ15" s="3"/>
      <c r="AZ15" s="188"/>
      <c r="BA15" s="188" t="s">
        <v>213</v>
      </c>
    </row>
    <row r="16" spans="1:53" ht="26.25" hidden="1" customHeight="1" x14ac:dyDescent="0.5">
      <c r="A16" s="590"/>
      <c r="B16" s="591"/>
      <c r="C16" s="200"/>
      <c r="D16" s="201"/>
      <c r="E16" s="61"/>
      <c r="F16" s="61"/>
      <c r="G16" s="231"/>
      <c r="H16" s="231"/>
      <c r="I16" s="231"/>
      <c r="J16" s="231">
        <f t="shared" ref="J16:J23" si="1">H16+I16</f>
        <v>0</v>
      </c>
      <c r="K16" s="151">
        <f t="shared" ref="K16:K22" si="2">J16-G16</f>
        <v>0</v>
      </c>
      <c r="L16" s="152">
        <f t="shared" ref="L16:L24" si="3">IFERROR(K16/G16*100,0)</f>
        <v>0</v>
      </c>
      <c r="M16" s="152"/>
      <c r="N16" s="153"/>
      <c r="O16" s="154">
        <f t="shared" ref="O16:O24" si="4">IFERROR(N16/J16*100,)</f>
        <v>0</v>
      </c>
      <c r="P16" s="155"/>
      <c r="Z16" s="3"/>
      <c r="AA16" s="118"/>
      <c r="AB16" s="116"/>
      <c r="AC16" s="116"/>
      <c r="AD16" s="116"/>
      <c r="AE16" s="116"/>
      <c r="AF16" s="116"/>
      <c r="AG16" s="3"/>
      <c r="AH16" s="3"/>
      <c r="AI16" s="3"/>
      <c r="AJ16" s="3"/>
      <c r="AZ16" s="188"/>
      <c r="BA16" s="188" t="s">
        <v>371</v>
      </c>
    </row>
    <row r="17" spans="1:36" ht="28.5" hidden="1" x14ac:dyDescent="0.4">
      <c r="A17" s="590"/>
      <c r="B17" s="591"/>
      <c r="C17" s="200"/>
      <c r="D17" s="61"/>
      <c r="E17" s="61"/>
      <c r="F17" s="61"/>
      <c r="G17" s="231"/>
      <c r="H17" s="231"/>
      <c r="I17" s="231"/>
      <c r="J17" s="231">
        <f t="shared" si="1"/>
        <v>0</v>
      </c>
      <c r="K17" s="151">
        <f t="shared" si="2"/>
        <v>0</v>
      </c>
      <c r="L17" s="152">
        <f t="shared" si="3"/>
        <v>0</v>
      </c>
      <c r="M17" s="152"/>
      <c r="N17" s="153"/>
      <c r="O17" s="154">
        <f t="shared" si="4"/>
        <v>0</v>
      </c>
      <c r="P17" s="155"/>
      <c r="Z17" s="3"/>
      <c r="AA17" s="118"/>
      <c r="AB17" s="116"/>
      <c r="AC17" s="116"/>
      <c r="AD17" s="116"/>
      <c r="AE17" s="116"/>
      <c r="AF17" s="116"/>
      <c r="AG17" s="3"/>
      <c r="AH17" s="3"/>
      <c r="AI17" s="3"/>
      <c r="AJ17" s="3"/>
    </row>
    <row r="18" spans="1:36" ht="28.5" hidden="1" x14ac:dyDescent="0.4">
      <c r="A18" s="590"/>
      <c r="B18" s="591"/>
      <c r="C18" s="200"/>
      <c r="D18" s="61"/>
      <c r="E18" s="61"/>
      <c r="F18" s="61"/>
      <c r="G18" s="232"/>
      <c r="H18" s="231"/>
      <c r="I18" s="231"/>
      <c r="J18" s="231">
        <f t="shared" si="1"/>
        <v>0</v>
      </c>
      <c r="K18" s="151">
        <f t="shared" si="2"/>
        <v>0</v>
      </c>
      <c r="L18" s="152">
        <f t="shared" si="3"/>
        <v>0</v>
      </c>
      <c r="M18" s="152"/>
      <c r="N18" s="153"/>
      <c r="O18" s="154">
        <f t="shared" si="4"/>
        <v>0</v>
      </c>
      <c r="P18" s="155"/>
      <c r="Z18" s="3"/>
      <c r="AA18" s="118"/>
      <c r="AB18" s="116"/>
      <c r="AC18" s="116"/>
      <c r="AD18" s="116"/>
      <c r="AE18" s="116"/>
      <c r="AF18" s="116"/>
      <c r="AG18" s="3"/>
      <c r="AH18" s="3"/>
      <c r="AI18" s="3"/>
      <c r="AJ18" s="3"/>
    </row>
    <row r="19" spans="1:36" ht="28.5" hidden="1" x14ac:dyDescent="0.25">
      <c r="A19" s="590"/>
      <c r="B19" s="591"/>
      <c r="C19" s="200"/>
      <c r="D19" s="61"/>
      <c r="E19" s="61"/>
      <c r="F19" s="61"/>
      <c r="G19" s="233"/>
      <c r="H19" s="231"/>
      <c r="I19" s="231"/>
      <c r="J19" s="231">
        <f t="shared" si="1"/>
        <v>0</v>
      </c>
      <c r="K19" s="151">
        <f t="shared" si="2"/>
        <v>0</v>
      </c>
      <c r="L19" s="152">
        <f t="shared" si="3"/>
        <v>0</v>
      </c>
      <c r="M19" s="152"/>
      <c r="N19" s="153"/>
      <c r="O19" s="154">
        <f t="shared" si="4"/>
        <v>0</v>
      </c>
      <c r="P19" s="155"/>
      <c r="Z19" s="3"/>
      <c r="AA19" s="3"/>
      <c r="AB19" s="3"/>
      <c r="AC19" s="3"/>
      <c r="AD19" s="3"/>
      <c r="AE19" s="3"/>
      <c r="AF19" s="3"/>
      <c r="AG19" s="3"/>
      <c r="AH19" s="3"/>
      <c r="AI19" s="3"/>
      <c r="AJ19" s="3"/>
    </row>
    <row r="20" spans="1:36" ht="55.5" hidden="1" customHeight="1" x14ac:dyDescent="0.25">
      <c r="A20" s="590"/>
      <c r="B20" s="591"/>
      <c r="C20" s="61"/>
      <c r="D20" s="61"/>
      <c r="E20" s="61"/>
      <c r="F20" s="61"/>
      <c r="G20" s="231"/>
      <c r="H20" s="231"/>
      <c r="I20" s="231"/>
      <c r="J20" s="231">
        <f t="shared" si="1"/>
        <v>0</v>
      </c>
      <c r="K20" s="151">
        <f t="shared" si="2"/>
        <v>0</v>
      </c>
      <c r="L20" s="152">
        <f t="shared" si="3"/>
        <v>0</v>
      </c>
      <c r="M20" s="152"/>
      <c r="N20" s="153"/>
      <c r="O20" s="154">
        <f t="shared" si="4"/>
        <v>0</v>
      </c>
      <c r="P20" s="155"/>
      <c r="Z20" s="3"/>
      <c r="AA20" s="3"/>
      <c r="AB20" s="3"/>
      <c r="AC20" s="3"/>
      <c r="AD20" s="3"/>
      <c r="AE20" s="3"/>
      <c r="AF20" s="3"/>
      <c r="AG20" s="3"/>
      <c r="AH20" s="3"/>
      <c r="AI20" s="3"/>
      <c r="AJ20" s="3"/>
    </row>
    <row r="21" spans="1:36" ht="55.5" hidden="1" customHeight="1" x14ac:dyDescent="0.25">
      <c r="A21" s="590"/>
      <c r="B21" s="591"/>
      <c r="C21" s="61"/>
      <c r="D21" s="61"/>
      <c r="E21" s="61"/>
      <c r="F21" s="61"/>
      <c r="G21" s="231"/>
      <c r="H21" s="231"/>
      <c r="I21" s="231"/>
      <c r="J21" s="231">
        <f t="shared" si="1"/>
        <v>0</v>
      </c>
      <c r="K21" s="151">
        <f t="shared" si="2"/>
        <v>0</v>
      </c>
      <c r="L21" s="152">
        <f t="shared" si="3"/>
        <v>0</v>
      </c>
      <c r="M21" s="152"/>
      <c r="N21" s="153"/>
      <c r="O21" s="154">
        <f t="shared" si="4"/>
        <v>0</v>
      </c>
      <c r="P21" s="155"/>
      <c r="AA21" s="178"/>
    </row>
    <row r="22" spans="1:36" ht="55.5" hidden="1" customHeight="1" x14ac:dyDescent="0.25">
      <c r="A22" s="590"/>
      <c r="B22" s="591"/>
      <c r="C22" s="61"/>
      <c r="D22" s="61"/>
      <c r="E22" s="61"/>
      <c r="F22" s="61"/>
      <c r="G22" s="231"/>
      <c r="H22" s="231"/>
      <c r="I22" s="231"/>
      <c r="J22" s="231">
        <f t="shared" si="1"/>
        <v>0</v>
      </c>
      <c r="K22" s="151">
        <f t="shared" si="2"/>
        <v>0</v>
      </c>
      <c r="L22" s="152">
        <f t="shared" si="3"/>
        <v>0</v>
      </c>
      <c r="M22" s="152"/>
      <c r="N22" s="153"/>
      <c r="O22" s="154">
        <f t="shared" si="4"/>
        <v>0</v>
      </c>
      <c r="P22" s="155"/>
    </row>
    <row r="23" spans="1:36" ht="55.5" hidden="1" customHeight="1" x14ac:dyDescent="0.25">
      <c r="A23" s="590"/>
      <c r="B23" s="591"/>
      <c r="C23" s="61"/>
      <c r="D23" s="61"/>
      <c r="E23" s="61"/>
      <c r="F23" s="61"/>
      <c r="G23" s="231"/>
      <c r="H23" s="231"/>
      <c r="I23" s="231"/>
      <c r="J23" s="231">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234">
        <f>SUM(G14:G23)</f>
        <v>70882</v>
      </c>
      <c r="H24" s="234">
        <f>SUM(H14:H23)</f>
        <v>26580.82</v>
      </c>
      <c r="I24" s="234">
        <f>SUM(I14:I23)</f>
        <v>17720.55</v>
      </c>
      <c r="J24" s="234">
        <f>SUM(J14:J23)</f>
        <v>44301.369999999995</v>
      </c>
      <c r="K24" s="156">
        <f>J24-G24</f>
        <v>-26580.630000000005</v>
      </c>
      <c r="L24" s="156">
        <f t="shared" si="3"/>
        <v>-37.499830704551236</v>
      </c>
      <c r="M24" s="156"/>
      <c r="N24" s="157">
        <f>SUM(N14:N23)</f>
        <v>0</v>
      </c>
      <c r="O24" s="156">
        <f t="shared" si="4"/>
        <v>0</v>
      </c>
      <c r="P24" s="158"/>
    </row>
    <row r="25" spans="1:36" s="307" customFormat="1" ht="68.25" customHeight="1" x14ac:dyDescent="0.45">
      <c r="G25" s="309">
        <f>'Quadro Geral'!J26</f>
        <v>70882</v>
      </c>
      <c r="H25" s="317">
        <f>'Quadro Geral'!K26</f>
        <v>26580.82</v>
      </c>
      <c r="I25" s="317">
        <f>'Quadro Geral'!L26</f>
        <v>17720.55</v>
      </c>
      <c r="J25" s="317">
        <f>'Quadro Geral'!M26</f>
        <v>44301.369999999995</v>
      </c>
    </row>
    <row r="26" spans="1:36" x14ac:dyDescent="0.4">
      <c r="A26" s="306" t="s">
        <v>296</v>
      </c>
      <c r="B26" s="306"/>
      <c r="C26" s="306"/>
      <c r="D26" s="306"/>
      <c r="E26" s="306"/>
      <c r="F26" s="306"/>
      <c r="G26" s="306" t="b">
        <f>G24=G25</f>
        <v>1</v>
      </c>
      <c r="H26" s="306" t="b">
        <f t="shared" ref="H26:J26" si="5">H24=H25</f>
        <v>1</v>
      </c>
      <c r="I26" s="306" t="b">
        <f t="shared" si="5"/>
        <v>1</v>
      </c>
      <c r="J26" s="306" t="b">
        <f t="shared" si="5"/>
        <v>1</v>
      </c>
      <c r="K26" s="306"/>
      <c r="L26" s="306"/>
      <c r="M26" s="306"/>
      <c r="N26" s="306"/>
      <c r="O26" s="306"/>
      <c r="P26" s="306"/>
    </row>
    <row r="27" spans="1:36" ht="36" customHeight="1" x14ac:dyDescent="0.25">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t="15" hidden="1" x14ac:dyDescent="0.25">
      <c r="A36" s="598" t="s">
        <v>387</v>
      </c>
      <c r="B36" s="599"/>
      <c r="C36" s="599"/>
      <c r="D36" s="599"/>
      <c r="E36" s="599"/>
      <c r="F36" s="599"/>
      <c r="G36" s="599"/>
      <c r="H36" s="599"/>
      <c r="I36" s="599"/>
      <c r="J36" s="599"/>
      <c r="K36" s="599"/>
      <c r="L36" s="599"/>
      <c r="M36" s="599"/>
      <c r="N36" s="599"/>
      <c r="O36" s="599"/>
      <c r="P36" s="600"/>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1.5"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374.25" customHeight="1" thickBot="1" x14ac:dyDescent="0.3">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1">
    <mergeCell ref="A6:P6"/>
    <mergeCell ref="A7:P7"/>
    <mergeCell ref="A8:F8"/>
    <mergeCell ref="G8:P8"/>
    <mergeCell ref="A9:F9"/>
    <mergeCell ref="G9:P9"/>
    <mergeCell ref="A24:F24"/>
    <mergeCell ref="P11:P13"/>
    <mergeCell ref="C12:E12"/>
    <mergeCell ref="F12:F13"/>
    <mergeCell ref="G12:G13"/>
    <mergeCell ref="H12:J12"/>
    <mergeCell ref="K12:K13"/>
    <mergeCell ref="L12:L13"/>
    <mergeCell ref="N12:N13"/>
    <mergeCell ref="O12:O13"/>
    <mergeCell ref="N11:O11"/>
    <mergeCell ref="A11:B13"/>
    <mergeCell ref="C11:F11"/>
    <mergeCell ref="G11:J11"/>
    <mergeCell ref="K11:L11"/>
    <mergeCell ref="M11:M13"/>
    <mergeCell ref="A19:B19"/>
    <mergeCell ref="A20:B20"/>
    <mergeCell ref="A21:B21"/>
    <mergeCell ref="A22:B22"/>
    <mergeCell ref="A23:B23"/>
    <mergeCell ref="Q14:W14"/>
    <mergeCell ref="A15:B15"/>
    <mergeCell ref="A16:B16"/>
    <mergeCell ref="A17:B17"/>
    <mergeCell ref="A18:B18"/>
    <mergeCell ref="C33:F33"/>
    <mergeCell ref="A35:P35"/>
    <mergeCell ref="A36:P84"/>
    <mergeCell ref="A27:P27"/>
    <mergeCell ref="A28:P28"/>
    <mergeCell ref="A29:F29"/>
    <mergeCell ref="C30:F30"/>
    <mergeCell ref="C31:F31"/>
    <mergeCell ref="C32:F32"/>
  </mergeCells>
  <dataValidations count="2">
    <dataValidation type="list" allowBlank="1" showInputMessage="1" showErrorMessage="1" sqref="M15:M23">
      <formula1>$BA$13:$BA$16</formula1>
    </dataValidation>
    <dataValidation type="list" allowBlank="1" showInputMessage="1" showErrorMessage="1" sqref="BA13:BA15">
      <formula1>$BA$13:$BA$15</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[3]Resumo!#REF!</xm:f>
          </x14:formula1>
          <xm:sqref>E15:E19</xm:sqref>
        </x14:dataValidation>
        <x14:dataValidation type="list" allowBlank="1" showInputMessage="1" showErrorMessage="1">
          <x14:formula1>
            <xm:f>'AÇÕES ESTRATÉGICAS - DESCRIÇÃO '!$C$2:$C$22</xm:f>
          </x14:formula1>
          <xm:sqref>E20:E23</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5:BA84"/>
  <sheetViews>
    <sheetView showGridLines="0" topLeftCell="A8" zoomScale="40" zoomScaleNormal="40" zoomScaleSheetLayoutView="80" workbookViewId="0">
      <selection activeCell="B25" sqref="B25"/>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27.7109375" style="1" bestFit="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452</v>
      </c>
      <c r="H8" s="570"/>
      <c r="I8" s="570"/>
      <c r="J8" s="570"/>
      <c r="K8" s="570"/>
      <c r="L8" s="570"/>
      <c r="M8" s="570"/>
      <c r="N8" s="570"/>
      <c r="O8" s="570"/>
      <c r="P8" s="571"/>
      <c r="Q8" s="307" t="b">
        <f>G8='Quadro Geral'!E27</f>
        <v>1</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640</v>
      </c>
      <c r="H9" s="570"/>
      <c r="I9" s="570"/>
      <c r="J9" s="570"/>
      <c r="K9" s="570"/>
      <c r="L9" s="570"/>
      <c r="M9" s="570"/>
      <c r="N9" s="570"/>
      <c r="O9" s="570"/>
      <c r="P9" s="571"/>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198" t="s">
        <v>289</v>
      </c>
      <c r="D13" s="199" t="s">
        <v>288</v>
      </c>
      <c r="E13" s="130" t="s">
        <v>217</v>
      </c>
      <c r="F13" s="582"/>
      <c r="G13" s="582"/>
      <c r="H13" s="198" t="s">
        <v>373</v>
      </c>
      <c r="I13" s="198" t="s">
        <v>374</v>
      </c>
      <c r="J13" s="198"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78.75" x14ac:dyDescent="0.5">
      <c r="A15" s="590" t="s">
        <v>513</v>
      </c>
      <c r="B15" s="591"/>
      <c r="C15" s="200">
        <v>1</v>
      </c>
      <c r="D15" s="61" t="s">
        <v>644</v>
      </c>
      <c r="E15" s="61" t="s">
        <v>281</v>
      </c>
      <c r="F15" s="61" t="s">
        <v>544</v>
      </c>
      <c r="G15" s="210">
        <v>2000</v>
      </c>
      <c r="H15" s="231">
        <v>0</v>
      </c>
      <c r="I15" s="231"/>
      <c r="J15" s="231">
        <f>H15+I15</f>
        <v>0</v>
      </c>
      <c r="K15" s="151">
        <f>J15-G15</f>
        <v>-2000</v>
      </c>
      <c r="L15" s="152">
        <f>IFERROR(K15/G15*100,0)</f>
        <v>-100</v>
      </c>
      <c r="M15" s="152" t="s">
        <v>371</v>
      </c>
      <c r="N15" s="153"/>
      <c r="O15" s="154">
        <f>IFERROR(N15/J15*100,)</f>
        <v>0</v>
      </c>
      <c r="P15" s="61" t="s">
        <v>651</v>
      </c>
      <c r="Z15" s="3"/>
      <c r="AA15" s="118"/>
      <c r="AB15" s="116"/>
      <c r="AC15" s="116"/>
      <c r="AD15" s="116"/>
      <c r="AE15" s="116"/>
      <c r="AF15" s="116"/>
      <c r="AG15" s="3"/>
      <c r="AH15" s="3"/>
      <c r="AI15" s="3"/>
      <c r="AJ15" s="3"/>
      <c r="AZ15" s="188"/>
      <c r="BA15" s="188" t="s">
        <v>213</v>
      </c>
    </row>
    <row r="16" spans="1:53" ht="78.75" x14ac:dyDescent="0.5">
      <c r="A16" s="590" t="s">
        <v>513</v>
      </c>
      <c r="B16" s="591"/>
      <c r="C16" s="200">
        <v>2</v>
      </c>
      <c r="D16" s="61" t="s">
        <v>645</v>
      </c>
      <c r="E16" s="61" t="s">
        <v>281</v>
      </c>
      <c r="F16" s="61" t="s">
        <v>544</v>
      </c>
      <c r="G16" s="210">
        <v>2000</v>
      </c>
      <c r="H16" s="231">
        <v>0</v>
      </c>
      <c r="I16" s="231"/>
      <c r="J16" s="231">
        <f t="shared" ref="J16:J23" si="1">H16+I16</f>
        <v>0</v>
      </c>
      <c r="K16" s="151">
        <f t="shared" ref="K16:K22" si="2">J16-G16</f>
        <v>-2000</v>
      </c>
      <c r="L16" s="152">
        <f t="shared" ref="L16:L24" si="3">IFERROR(K16/G16*100,0)</f>
        <v>-100</v>
      </c>
      <c r="M16" s="152" t="s">
        <v>371</v>
      </c>
      <c r="N16" s="153"/>
      <c r="O16" s="154">
        <f t="shared" ref="O16:O24" si="4">IFERROR(N16/J16*100,)</f>
        <v>0</v>
      </c>
      <c r="P16" s="61" t="s">
        <v>651</v>
      </c>
      <c r="Z16" s="3"/>
      <c r="AA16" s="118"/>
      <c r="AB16" s="116"/>
      <c r="AC16" s="116"/>
      <c r="AD16" s="116"/>
      <c r="AE16" s="116"/>
      <c r="AF16" s="116"/>
      <c r="AG16" s="3"/>
      <c r="AH16" s="3"/>
      <c r="AI16" s="3"/>
      <c r="AJ16" s="3"/>
      <c r="AZ16" s="188"/>
      <c r="BA16" s="188" t="s">
        <v>371</v>
      </c>
    </row>
    <row r="17" spans="1:36" ht="78.75" x14ac:dyDescent="0.4">
      <c r="A17" s="590" t="s">
        <v>513</v>
      </c>
      <c r="B17" s="591"/>
      <c r="C17" s="200">
        <v>2</v>
      </c>
      <c r="D17" s="61" t="s">
        <v>646</v>
      </c>
      <c r="E17" s="61" t="s">
        <v>281</v>
      </c>
      <c r="F17" s="61" t="s">
        <v>544</v>
      </c>
      <c r="G17" s="210">
        <v>2000</v>
      </c>
      <c r="H17" s="231">
        <v>0</v>
      </c>
      <c r="I17" s="231"/>
      <c r="J17" s="231">
        <f t="shared" si="1"/>
        <v>0</v>
      </c>
      <c r="K17" s="151">
        <f t="shared" si="2"/>
        <v>-2000</v>
      </c>
      <c r="L17" s="152">
        <f t="shared" si="3"/>
        <v>-100</v>
      </c>
      <c r="M17" s="152" t="s">
        <v>371</v>
      </c>
      <c r="N17" s="153"/>
      <c r="O17" s="154">
        <f t="shared" si="4"/>
        <v>0</v>
      </c>
      <c r="P17" s="61" t="s">
        <v>651</v>
      </c>
      <c r="Z17" s="3"/>
      <c r="AA17" s="118"/>
      <c r="AB17" s="116"/>
      <c r="AC17" s="116"/>
      <c r="AD17" s="116"/>
      <c r="AE17" s="116"/>
      <c r="AF17" s="116"/>
      <c r="AG17" s="3"/>
      <c r="AH17" s="3"/>
      <c r="AI17" s="3"/>
      <c r="AJ17" s="3"/>
    </row>
    <row r="18" spans="1:36" ht="105" x14ac:dyDescent="0.4">
      <c r="A18" s="590" t="s">
        <v>512</v>
      </c>
      <c r="B18" s="591"/>
      <c r="C18" s="200">
        <v>3</v>
      </c>
      <c r="D18" s="213" t="s">
        <v>647</v>
      </c>
      <c r="E18" s="61" t="s">
        <v>230</v>
      </c>
      <c r="F18" s="61" t="s">
        <v>648</v>
      </c>
      <c r="G18" s="210">
        <v>140000</v>
      </c>
      <c r="H18" s="231">
        <v>4950</v>
      </c>
      <c r="I18" s="231">
        <v>141050</v>
      </c>
      <c r="J18" s="231">
        <f t="shared" si="1"/>
        <v>146000</v>
      </c>
      <c r="K18" s="151">
        <f t="shared" si="2"/>
        <v>6000</v>
      </c>
      <c r="L18" s="152">
        <f t="shared" si="3"/>
        <v>4.2857142857142856</v>
      </c>
      <c r="M18" s="152" t="s">
        <v>371</v>
      </c>
      <c r="N18" s="153"/>
      <c r="O18" s="154">
        <f t="shared" si="4"/>
        <v>0</v>
      </c>
      <c r="P18" s="61" t="s">
        <v>651</v>
      </c>
      <c r="Z18" s="3"/>
      <c r="AA18" s="118"/>
      <c r="AB18" s="116"/>
      <c r="AC18" s="116"/>
      <c r="AD18" s="116"/>
      <c r="AE18" s="116"/>
      <c r="AF18" s="116"/>
      <c r="AG18" s="3"/>
      <c r="AH18" s="3"/>
      <c r="AI18" s="3"/>
      <c r="AJ18" s="3"/>
    </row>
    <row r="19" spans="1:36" ht="78.75" x14ac:dyDescent="0.25">
      <c r="A19" s="590" t="s">
        <v>514</v>
      </c>
      <c r="B19" s="591"/>
      <c r="C19" s="200">
        <v>1</v>
      </c>
      <c r="D19" s="61" t="s">
        <v>649</v>
      </c>
      <c r="E19" s="61" t="s">
        <v>230</v>
      </c>
      <c r="F19" s="61" t="s">
        <v>650</v>
      </c>
      <c r="G19" s="210">
        <v>4000</v>
      </c>
      <c r="H19" s="231">
        <v>1406.91</v>
      </c>
      <c r="I19" s="231">
        <f>G19-H19</f>
        <v>2593.09</v>
      </c>
      <c r="J19" s="231">
        <f t="shared" si="1"/>
        <v>4000</v>
      </c>
      <c r="K19" s="151">
        <f t="shared" si="2"/>
        <v>0</v>
      </c>
      <c r="L19" s="152">
        <f t="shared" si="3"/>
        <v>0</v>
      </c>
      <c r="M19" s="152" t="s">
        <v>371</v>
      </c>
      <c r="N19" s="153"/>
      <c r="O19" s="154">
        <f t="shared" si="4"/>
        <v>0</v>
      </c>
      <c r="P19" s="61" t="s">
        <v>651</v>
      </c>
      <c r="Z19" s="3"/>
      <c r="AA19" s="3"/>
      <c r="AB19" s="3"/>
      <c r="AC19" s="3"/>
      <c r="AD19" s="3"/>
      <c r="AE19" s="3"/>
      <c r="AF19" s="3"/>
      <c r="AG19" s="3"/>
      <c r="AH19" s="3"/>
      <c r="AI19" s="3"/>
      <c r="AJ19" s="3"/>
    </row>
    <row r="20" spans="1:36" ht="55.5" hidden="1" customHeight="1" x14ac:dyDescent="0.25">
      <c r="A20" s="590"/>
      <c r="B20" s="591"/>
      <c r="C20" s="61"/>
      <c r="D20" s="61"/>
      <c r="E20" s="61"/>
      <c r="F20" s="61"/>
      <c r="G20" s="231"/>
      <c r="H20" s="231"/>
      <c r="I20" s="231"/>
      <c r="J20" s="231">
        <f t="shared" si="1"/>
        <v>0</v>
      </c>
      <c r="K20" s="151">
        <f t="shared" si="2"/>
        <v>0</v>
      </c>
      <c r="L20" s="152">
        <f t="shared" si="3"/>
        <v>0</v>
      </c>
      <c r="M20" s="152"/>
      <c r="N20" s="153"/>
      <c r="O20" s="154">
        <f t="shared" si="4"/>
        <v>0</v>
      </c>
      <c r="P20" s="155"/>
      <c r="Z20" s="3"/>
      <c r="AA20" s="3"/>
      <c r="AB20" s="3"/>
      <c r="AC20" s="3"/>
      <c r="AD20" s="3"/>
      <c r="AE20" s="3"/>
      <c r="AF20" s="3"/>
      <c r="AG20" s="3"/>
      <c r="AH20" s="3"/>
      <c r="AI20" s="3"/>
      <c r="AJ20" s="3"/>
    </row>
    <row r="21" spans="1:36" ht="55.5" hidden="1" customHeight="1" x14ac:dyDescent="0.25">
      <c r="A21" s="590"/>
      <c r="B21" s="591"/>
      <c r="C21" s="61"/>
      <c r="D21" s="61"/>
      <c r="E21" s="61"/>
      <c r="F21" s="61"/>
      <c r="G21" s="231"/>
      <c r="H21" s="231"/>
      <c r="I21" s="231"/>
      <c r="J21" s="231">
        <f t="shared" si="1"/>
        <v>0</v>
      </c>
      <c r="K21" s="151">
        <f t="shared" si="2"/>
        <v>0</v>
      </c>
      <c r="L21" s="152">
        <f t="shared" si="3"/>
        <v>0</v>
      </c>
      <c r="M21" s="152"/>
      <c r="N21" s="153"/>
      <c r="O21" s="154">
        <f t="shared" si="4"/>
        <v>0</v>
      </c>
      <c r="P21" s="155"/>
      <c r="AA21" s="178"/>
    </row>
    <row r="22" spans="1:36" ht="55.5" hidden="1" customHeight="1" x14ac:dyDescent="0.25">
      <c r="A22" s="590"/>
      <c r="B22" s="591"/>
      <c r="C22" s="61"/>
      <c r="D22" s="61"/>
      <c r="E22" s="61"/>
      <c r="F22" s="61"/>
      <c r="G22" s="231"/>
      <c r="H22" s="231"/>
      <c r="I22" s="231"/>
      <c r="J22" s="231">
        <f t="shared" si="1"/>
        <v>0</v>
      </c>
      <c r="K22" s="151">
        <f t="shared" si="2"/>
        <v>0</v>
      </c>
      <c r="L22" s="152">
        <f t="shared" si="3"/>
        <v>0</v>
      </c>
      <c r="M22" s="152"/>
      <c r="N22" s="153"/>
      <c r="O22" s="154">
        <f t="shared" si="4"/>
        <v>0</v>
      </c>
      <c r="P22" s="155"/>
    </row>
    <row r="23" spans="1:36" ht="55.5" hidden="1" customHeight="1" x14ac:dyDescent="0.25">
      <c r="A23" s="590"/>
      <c r="B23" s="591"/>
      <c r="C23" s="61"/>
      <c r="D23" s="61"/>
      <c r="E23" s="61"/>
      <c r="F23" s="61"/>
      <c r="G23" s="231"/>
      <c r="H23" s="231"/>
      <c r="I23" s="231"/>
      <c r="J23" s="231">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234">
        <f>SUM(G14:G23)</f>
        <v>150000</v>
      </c>
      <c r="H24" s="234">
        <f>SUM(H14:H23)</f>
        <v>6356.91</v>
      </c>
      <c r="I24" s="234">
        <f>SUM(I14:I23)</f>
        <v>143643.09</v>
      </c>
      <c r="J24" s="234">
        <f>SUM(J14:J23)</f>
        <v>150000</v>
      </c>
      <c r="K24" s="156">
        <f>J24-G24</f>
        <v>0</v>
      </c>
      <c r="L24" s="156">
        <f t="shared" si="3"/>
        <v>0</v>
      </c>
      <c r="M24" s="156"/>
      <c r="N24" s="157">
        <f>SUM(N14:N23)</f>
        <v>0</v>
      </c>
      <c r="O24" s="156">
        <f t="shared" si="4"/>
        <v>0</v>
      </c>
      <c r="P24" s="158"/>
    </row>
    <row r="25" spans="1:36" ht="19.5" x14ac:dyDescent="0.3">
      <c r="A25" s="1"/>
      <c r="B25" s="1"/>
      <c r="C25" s="1"/>
      <c r="D25" s="1"/>
      <c r="E25" s="1"/>
      <c r="F25" s="1"/>
      <c r="G25" s="235">
        <f>'Quadro Geral'!J27</f>
        <v>150000</v>
      </c>
      <c r="H25" s="235">
        <f>'Quadro Geral'!K27</f>
        <v>6356.91</v>
      </c>
      <c r="I25" s="235">
        <f>'Quadro Geral'!L27</f>
        <v>143643.09</v>
      </c>
      <c r="J25" s="235">
        <f>'Quadro Geral'!M27</f>
        <v>150000</v>
      </c>
      <c r="K25" s="1"/>
      <c r="L25" s="1"/>
      <c r="M25" s="1"/>
      <c r="N25" s="1"/>
      <c r="O25" s="1"/>
      <c r="P25" s="1"/>
    </row>
    <row r="26" spans="1:36" x14ac:dyDescent="0.4">
      <c r="A26" s="306" t="s">
        <v>296</v>
      </c>
      <c r="B26" s="306"/>
      <c r="C26" s="306"/>
      <c r="D26" s="306"/>
      <c r="E26" s="306"/>
      <c r="F26" s="306"/>
      <c r="G26" s="306" t="b">
        <f>G24=G25</f>
        <v>1</v>
      </c>
      <c r="H26" s="306" t="b">
        <f>H24=H25</f>
        <v>1</v>
      </c>
      <c r="I26" s="306" t="b">
        <f t="shared" ref="I26:J26" si="5">I24=I25</f>
        <v>1</v>
      </c>
      <c r="J26" s="306" t="b">
        <f t="shared" si="5"/>
        <v>1</v>
      </c>
      <c r="K26" s="306"/>
      <c r="L26" s="306"/>
      <c r="M26" s="306"/>
      <c r="N26" s="306"/>
      <c r="O26" s="306"/>
      <c r="P26" s="306"/>
    </row>
    <row r="27" spans="1:36" ht="36" customHeight="1" x14ac:dyDescent="0.25">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t="15" hidden="1" x14ac:dyDescent="0.25">
      <c r="A36" s="598" t="s">
        <v>387</v>
      </c>
      <c r="B36" s="599"/>
      <c r="C36" s="599"/>
      <c r="D36" s="599"/>
      <c r="E36" s="599"/>
      <c r="F36" s="599"/>
      <c r="G36" s="599"/>
      <c r="H36" s="599"/>
      <c r="I36" s="599"/>
      <c r="J36" s="599"/>
      <c r="K36" s="599"/>
      <c r="L36" s="599"/>
      <c r="M36" s="599"/>
      <c r="N36" s="599"/>
      <c r="O36" s="599"/>
      <c r="P36" s="600"/>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1.5"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374.25" customHeight="1" thickBot="1" x14ac:dyDescent="0.3">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1">
    <mergeCell ref="A6:P6"/>
    <mergeCell ref="A7:P7"/>
    <mergeCell ref="A8:F8"/>
    <mergeCell ref="G8:P8"/>
    <mergeCell ref="A9:F9"/>
    <mergeCell ref="G9:P9"/>
    <mergeCell ref="A24:F24"/>
    <mergeCell ref="P11:P13"/>
    <mergeCell ref="C12:E12"/>
    <mergeCell ref="F12:F13"/>
    <mergeCell ref="G12:G13"/>
    <mergeCell ref="H12:J12"/>
    <mergeCell ref="K12:K13"/>
    <mergeCell ref="L12:L13"/>
    <mergeCell ref="N12:N13"/>
    <mergeCell ref="O12:O13"/>
    <mergeCell ref="N11:O11"/>
    <mergeCell ref="A11:B13"/>
    <mergeCell ref="C11:F11"/>
    <mergeCell ref="G11:J11"/>
    <mergeCell ref="K11:L11"/>
    <mergeCell ref="M11:M13"/>
    <mergeCell ref="A19:B19"/>
    <mergeCell ref="A20:B20"/>
    <mergeCell ref="A21:B21"/>
    <mergeCell ref="A22:B22"/>
    <mergeCell ref="A23:B23"/>
    <mergeCell ref="Q14:W14"/>
    <mergeCell ref="A15:B15"/>
    <mergeCell ref="A16:B16"/>
    <mergeCell ref="A17:B17"/>
    <mergeCell ref="A18:B18"/>
    <mergeCell ref="C33:F33"/>
    <mergeCell ref="A35:P35"/>
    <mergeCell ref="A36:P84"/>
    <mergeCell ref="A27:P27"/>
    <mergeCell ref="A28:P28"/>
    <mergeCell ref="A29:F29"/>
    <mergeCell ref="C30:F30"/>
    <mergeCell ref="C31:F31"/>
    <mergeCell ref="C32:F32"/>
  </mergeCells>
  <dataValidations count="2">
    <dataValidation type="list" allowBlank="1" showInputMessage="1" showErrorMessage="1" sqref="M15:M23">
      <formula1>$BA$13:$BA$16</formula1>
    </dataValidation>
    <dataValidation type="list" allowBlank="1" showInputMessage="1" showErrorMessage="1" sqref="BA13:BA15">
      <formula1>$BA$13:$BA$15</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'AÇÕES ESTRATÉGICAS - DESCRIÇÃO '!$C$2:$C$22</xm:f>
          </x14:formula1>
          <xm:sqref>E20:E23</xm:sqref>
        </x14:dataValidation>
        <x14:dataValidation type="list" allowBlank="1" showInputMessage="1" showErrorMessage="1">
          <x14:formula1>
            <xm:f>[3]Resumo!#REF!</xm:f>
          </x14:formula1>
          <xm:sqref>E15:E17</xm:sqref>
        </x14:dataValidation>
        <x14:dataValidation type="list" allowBlank="1" showInputMessage="1" showErrorMessage="1">
          <x14:formula1>
            <xm:f>'[3]Ações Estratégicas - Descrição'!#REF!</xm:f>
          </x14:formula1>
          <xm:sqref>E18:E19</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BA84"/>
  <sheetViews>
    <sheetView showGridLines="0" topLeftCell="E21" zoomScale="40" zoomScaleNormal="40" zoomScaleSheetLayoutView="80" workbookViewId="0">
      <selection activeCell="G26" sqref="G26:J26"/>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27.7109375" style="1" bestFit="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458</v>
      </c>
      <c r="H8" s="570"/>
      <c r="I8" s="570"/>
      <c r="J8" s="570"/>
      <c r="K8" s="570"/>
      <c r="L8" s="570"/>
      <c r="M8" s="570"/>
      <c r="N8" s="570"/>
      <c r="O8" s="570"/>
      <c r="P8" s="571"/>
      <c r="Q8" s="307" t="b">
        <f>G8='Quadro Geral'!E30</f>
        <v>1</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526</v>
      </c>
      <c r="H9" s="570"/>
      <c r="I9" s="570"/>
      <c r="J9" s="570"/>
      <c r="K9" s="570"/>
      <c r="L9" s="570"/>
      <c r="M9" s="570"/>
      <c r="N9" s="570"/>
      <c r="O9" s="570"/>
      <c r="P9" s="571"/>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198" t="s">
        <v>289</v>
      </c>
      <c r="D13" s="199" t="s">
        <v>288</v>
      </c>
      <c r="E13" s="130" t="s">
        <v>217</v>
      </c>
      <c r="F13" s="582"/>
      <c r="G13" s="582"/>
      <c r="H13" s="198" t="s">
        <v>373</v>
      </c>
      <c r="I13" s="198" t="s">
        <v>374</v>
      </c>
      <c r="J13" s="198"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78.75" x14ac:dyDescent="0.5">
      <c r="A15" s="590" t="s">
        <v>514</v>
      </c>
      <c r="B15" s="591"/>
      <c r="C15" s="200">
        <v>150</v>
      </c>
      <c r="D15" s="214" t="s">
        <v>652</v>
      </c>
      <c r="E15" s="61" t="s">
        <v>281</v>
      </c>
      <c r="F15" s="61" t="s">
        <v>653</v>
      </c>
      <c r="G15" s="210">
        <v>2000</v>
      </c>
      <c r="H15" s="231">
        <v>0</v>
      </c>
      <c r="I15" s="231">
        <v>2000</v>
      </c>
      <c r="J15" s="231">
        <f>H15+I15</f>
        <v>2000</v>
      </c>
      <c r="K15" s="151">
        <f>J15-G15</f>
        <v>0</v>
      </c>
      <c r="L15" s="152">
        <f>IFERROR(K15/G15*100,0)</f>
        <v>0</v>
      </c>
      <c r="M15" s="152" t="s">
        <v>371</v>
      </c>
      <c r="N15" s="153"/>
      <c r="O15" s="154">
        <f>IFERROR(N15/J15*100,)</f>
        <v>0</v>
      </c>
      <c r="P15" s="61" t="s">
        <v>661</v>
      </c>
      <c r="Z15" s="3"/>
      <c r="AA15" s="118"/>
      <c r="AB15" s="116"/>
      <c r="AC15" s="116"/>
      <c r="AD15" s="116"/>
      <c r="AE15" s="116"/>
      <c r="AF15" s="116"/>
      <c r="AG15" s="3"/>
      <c r="AH15" s="3"/>
      <c r="AI15" s="3"/>
      <c r="AJ15" s="3"/>
      <c r="AZ15" s="188"/>
      <c r="BA15" s="188" t="s">
        <v>213</v>
      </c>
    </row>
    <row r="16" spans="1:53" ht="105" x14ac:dyDescent="0.5">
      <c r="A16" s="590" t="s">
        <v>513</v>
      </c>
      <c r="B16" s="591"/>
      <c r="C16" s="200">
        <v>40</v>
      </c>
      <c r="D16" s="61" t="s">
        <v>654</v>
      </c>
      <c r="E16" s="61" t="s">
        <v>224</v>
      </c>
      <c r="F16" s="61" t="s">
        <v>655</v>
      </c>
      <c r="G16" s="210">
        <v>1500</v>
      </c>
      <c r="H16" s="231">
        <v>0</v>
      </c>
      <c r="I16" s="231">
        <v>0</v>
      </c>
      <c r="J16" s="231">
        <f t="shared" ref="J16:J23" si="1">H16+I16</f>
        <v>0</v>
      </c>
      <c r="K16" s="151">
        <f t="shared" ref="K16:K22" si="2">J16-G16</f>
        <v>-1500</v>
      </c>
      <c r="L16" s="152">
        <f t="shared" ref="L16:L24" si="3">IFERROR(K16/G16*100,0)</f>
        <v>-100</v>
      </c>
      <c r="M16" s="152" t="s">
        <v>371</v>
      </c>
      <c r="N16" s="153"/>
      <c r="O16" s="154">
        <f t="shared" ref="O16:O24" si="4">IFERROR(N16/J16*100,)</f>
        <v>0</v>
      </c>
      <c r="P16" s="61" t="s">
        <v>661</v>
      </c>
      <c r="Z16" s="3"/>
      <c r="AA16" s="118"/>
      <c r="AB16" s="116"/>
      <c r="AC16" s="116"/>
      <c r="AD16" s="116"/>
      <c r="AE16" s="116"/>
      <c r="AF16" s="116"/>
      <c r="AG16" s="3"/>
      <c r="AH16" s="3"/>
      <c r="AI16" s="3"/>
      <c r="AJ16" s="3"/>
      <c r="AZ16" s="188"/>
      <c r="BA16" s="188" t="s">
        <v>371</v>
      </c>
    </row>
    <row r="17" spans="1:36" ht="105" x14ac:dyDescent="0.4">
      <c r="A17" s="590" t="s">
        <v>513</v>
      </c>
      <c r="B17" s="591"/>
      <c r="C17" s="200">
        <v>30</v>
      </c>
      <c r="D17" s="213" t="s">
        <v>656</v>
      </c>
      <c r="E17" s="61" t="s">
        <v>224</v>
      </c>
      <c r="F17" s="61" t="s">
        <v>655</v>
      </c>
      <c r="G17" s="210">
        <v>1000</v>
      </c>
      <c r="H17" s="231">
        <v>0</v>
      </c>
      <c r="I17" s="231">
        <v>0</v>
      </c>
      <c r="J17" s="231">
        <f t="shared" si="1"/>
        <v>0</v>
      </c>
      <c r="K17" s="151">
        <f t="shared" si="2"/>
        <v>-1000</v>
      </c>
      <c r="L17" s="152">
        <f t="shared" si="3"/>
        <v>-100</v>
      </c>
      <c r="M17" s="152" t="s">
        <v>371</v>
      </c>
      <c r="N17" s="153"/>
      <c r="O17" s="154">
        <f t="shared" si="4"/>
        <v>0</v>
      </c>
      <c r="P17" s="61" t="s">
        <v>661</v>
      </c>
      <c r="Z17" s="3"/>
      <c r="AA17" s="118"/>
      <c r="AB17" s="116"/>
      <c r="AC17" s="116"/>
      <c r="AD17" s="116"/>
      <c r="AE17" s="116"/>
      <c r="AF17" s="116"/>
      <c r="AG17" s="3"/>
      <c r="AH17" s="3"/>
      <c r="AI17" s="3"/>
      <c r="AJ17" s="3"/>
    </row>
    <row r="18" spans="1:36" ht="78.75" x14ac:dyDescent="0.4">
      <c r="A18" s="590" t="s">
        <v>514</v>
      </c>
      <c r="B18" s="591"/>
      <c r="C18" s="200">
        <v>1</v>
      </c>
      <c r="D18" s="213" t="s">
        <v>657</v>
      </c>
      <c r="E18" s="61" t="s">
        <v>224</v>
      </c>
      <c r="F18" s="61" t="s">
        <v>658</v>
      </c>
      <c r="G18" s="210">
        <v>5000</v>
      </c>
      <c r="H18" s="231">
        <v>0</v>
      </c>
      <c r="I18" s="231">
        <v>5000</v>
      </c>
      <c r="J18" s="231">
        <f t="shared" si="1"/>
        <v>5000</v>
      </c>
      <c r="K18" s="151">
        <f t="shared" si="2"/>
        <v>0</v>
      </c>
      <c r="L18" s="152">
        <f t="shared" si="3"/>
        <v>0</v>
      </c>
      <c r="M18" s="152" t="s">
        <v>371</v>
      </c>
      <c r="N18" s="153"/>
      <c r="O18" s="154">
        <f t="shared" si="4"/>
        <v>0</v>
      </c>
      <c r="P18" s="61" t="s">
        <v>661</v>
      </c>
      <c r="Z18" s="3"/>
      <c r="AA18" s="118"/>
      <c r="AB18" s="116"/>
      <c r="AC18" s="116"/>
      <c r="AD18" s="116"/>
      <c r="AE18" s="116"/>
      <c r="AF18" s="116"/>
      <c r="AG18" s="3"/>
      <c r="AH18" s="3"/>
      <c r="AI18" s="3"/>
      <c r="AJ18" s="3"/>
    </row>
    <row r="19" spans="1:36" ht="78.75" customHeight="1" x14ac:dyDescent="0.25">
      <c r="A19" s="590" t="s">
        <v>512</v>
      </c>
      <c r="B19" s="591"/>
      <c r="C19" s="200">
        <v>1</v>
      </c>
      <c r="D19" s="61" t="s">
        <v>659</v>
      </c>
      <c r="E19" s="61" t="s">
        <v>281</v>
      </c>
      <c r="F19" s="61" t="s">
        <v>524</v>
      </c>
      <c r="G19" s="210">
        <v>149794.26</v>
      </c>
      <c r="H19" s="231">
        <v>79830.320000000007</v>
      </c>
      <c r="I19" s="231">
        <f>147552.5-79830.32</f>
        <v>67722.179999999993</v>
      </c>
      <c r="J19" s="231">
        <f t="shared" si="1"/>
        <v>147552.5</v>
      </c>
      <c r="K19" s="151">
        <f t="shared" si="2"/>
        <v>-2241.7600000000093</v>
      </c>
      <c r="L19" s="152">
        <f t="shared" si="3"/>
        <v>-1.4965593474676595</v>
      </c>
      <c r="M19" s="152" t="s">
        <v>371</v>
      </c>
      <c r="N19" s="153"/>
      <c r="O19" s="154">
        <f t="shared" si="4"/>
        <v>0</v>
      </c>
      <c r="P19" s="61" t="s">
        <v>661</v>
      </c>
      <c r="Z19" s="3"/>
      <c r="AA19" s="3"/>
      <c r="AB19" s="3"/>
      <c r="AC19" s="3"/>
      <c r="AD19" s="3"/>
      <c r="AE19" s="3"/>
      <c r="AF19" s="3"/>
      <c r="AG19" s="3"/>
      <c r="AH19" s="3"/>
      <c r="AI19" s="3"/>
      <c r="AJ19" s="3"/>
    </row>
    <row r="20" spans="1:36" ht="85.5" customHeight="1" x14ac:dyDescent="0.25">
      <c r="A20" s="590" t="s">
        <v>512</v>
      </c>
      <c r="B20" s="591"/>
      <c r="C20" s="200">
        <v>1</v>
      </c>
      <c r="D20" s="61" t="s">
        <v>559</v>
      </c>
      <c r="E20" s="61" t="s">
        <v>281</v>
      </c>
      <c r="F20" s="61" t="s">
        <v>524</v>
      </c>
      <c r="G20" s="210">
        <v>135000</v>
      </c>
      <c r="H20" s="231">
        <v>35866.410000000003</v>
      </c>
      <c r="I20" s="231">
        <f>135000-5630-35866.41-0.28</f>
        <v>93503.31</v>
      </c>
      <c r="J20" s="231">
        <f t="shared" si="1"/>
        <v>129369.72</v>
      </c>
      <c r="K20" s="151">
        <f t="shared" si="2"/>
        <v>-5630.2799999999988</v>
      </c>
      <c r="L20" s="152">
        <f t="shared" si="3"/>
        <v>-4.1705777777777771</v>
      </c>
      <c r="M20" s="152" t="s">
        <v>371</v>
      </c>
      <c r="N20" s="153"/>
      <c r="O20" s="154">
        <f t="shared" si="4"/>
        <v>0</v>
      </c>
      <c r="P20" s="61" t="s">
        <v>661</v>
      </c>
      <c r="Z20" s="3"/>
      <c r="AA20" s="3"/>
      <c r="AB20" s="3"/>
      <c r="AC20" s="3"/>
      <c r="AD20" s="3"/>
      <c r="AE20" s="3"/>
      <c r="AF20" s="3"/>
      <c r="AG20" s="3"/>
      <c r="AH20" s="3"/>
      <c r="AI20" s="3"/>
      <c r="AJ20" s="3"/>
    </row>
    <row r="21" spans="1:36" ht="127.5" customHeight="1" x14ac:dyDescent="0.25">
      <c r="A21" s="590" t="s">
        <v>512</v>
      </c>
      <c r="B21" s="591"/>
      <c r="C21" s="200">
        <v>4</v>
      </c>
      <c r="D21" s="213" t="s">
        <v>660</v>
      </c>
      <c r="E21" s="61" t="s">
        <v>281</v>
      </c>
      <c r="F21" s="61" t="s">
        <v>655</v>
      </c>
      <c r="G21" s="210">
        <v>2500</v>
      </c>
      <c r="H21" s="231">
        <v>2630.28</v>
      </c>
      <c r="I21" s="231">
        <v>0</v>
      </c>
      <c r="J21" s="231">
        <f t="shared" si="1"/>
        <v>2630.28</v>
      </c>
      <c r="K21" s="151">
        <f t="shared" si="2"/>
        <v>130.2800000000002</v>
      </c>
      <c r="L21" s="152">
        <f t="shared" si="3"/>
        <v>5.2112000000000078</v>
      </c>
      <c r="M21" s="152" t="s">
        <v>371</v>
      </c>
      <c r="N21" s="153"/>
      <c r="O21" s="154">
        <f t="shared" si="4"/>
        <v>0</v>
      </c>
      <c r="P21" s="61" t="s">
        <v>661</v>
      </c>
      <c r="AA21" s="178"/>
    </row>
    <row r="22" spans="1:36" ht="55.5" hidden="1" customHeight="1" x14ac:dyDescent="0.25">
      <c r="A22" s="590"/>
      <c r="B22" s="591"/>
      <c r="C22" s="61"/>
      <c r="D22" s="61"/>
      <c r="E22" s="61"/>
      <c r="F22" s="61"/>
      <c r="G22" s="231"/>
      <c r="H22" s="231"/>
      <c r="I22" s="231"/>
      <c r="J22" s="231">
        <f t="shared" si="1"/>
        <v>0</v>
      </c>
      <c r="K22" s="151">
        <f t="shared" si="2"/>
        <v>0</v>
      </c>
      <c r="L22" s="152">
        <f t="shared" si="3"/>
        <v>0</v>
      </c>
      <c r="M22" s="152"/>
      <c r="N22" s="153"/>
      <c r="O22" s="154">
        <f t="shared" si="4"/>
        <v>0</v>
      </c>
      <c r="P22" s="155"/>
    </row>
    <row r="23" spans="1:36" ht="55.5" hidden="1" customHeight="1" x14ac:dyDescent="0.25">
      <c r="A23" s="590"/>
      <c r="B23" s="591"/>
      <c r="C23" s="61"/>
      <c r="D23" s="61"/>
      <c r="E23" s="61"/>
      <c r="F23" s="61"/>
      <c r="G23" s="231"/>
      <c r="H23" s="231"/>
      <c r="I23" s="231"/>
      <c r="J23" s="231">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234">
        <f>SUM(G14:G23)</f>
        <v>296794.26</v>
      </c>
      <c r="H24" s="234">
        <f>SUM(H14:H23)</f>
        <v>118327.01000000001</v>
      </c>
      <c r="I24" s="234">
        <f>SUM(I14:I23)</f>
        <v>168225.49</v>
      </c>
      <c r="J24" s="234">
        <f>SUM(J14:J23)</f>
        <v>286552.5</v>
      </c>
      <c r="K24" s="156">
        <f>J24-G24</f>
        <v>-10241.760000000009</v>
      </c>
      <c r="L24" s="156">
        <f t="shared" si="3"/>
        <v>-3.4507944998666789</v>
      </c>
      <c r="M24" s="156"/>
      <c r="N24" s="157">
        <f>SUM(N14:N23)</f>
        <v>0</v>
      </c>
      <c r="O24" s="156">
        <f t="shared" si="4"/>
        <v>0</v>
      </c>
      <c r="P24" s="158"/>
    </row>
    <row r="25" spans="1:36" s="307" customFormat="1" ht="44.25" customHeight="1" x14ac:dyDescent="0.45">
      <c r="G25" s="309">
        <f>'Quadro Geral'!J30</f>
        <v>296794.26</v>
      </c>
      <c r="H25" s="317">
        <f>'Quadro Geral'!K30</f>
        <v>118327.01</v>
      </c>
      <c r="I25" s="317">
        <f>'Quadro Geral'!L30</f>
        <v>168225.49</v>
      </c>
      <c r="J25" s="317">
        <f>'Quadro Geral'!M30</f>
        <v>286552.5</v>
      </c>
    </row>
    <row r="26" spans="1:36" x14ac:dyDescent="0.4">
      <c r="A26" s="306" t="s">
        <v>296</v>
      </c>
      <c r="B26" s="306"/>
      <c r="C26" s="306"/>
      <c r="D26" s="306"/>
      <c r="E26" s="306"/>
      <c r="F26" s="306"/>
      <c r="G26" s="306" t="b">
        <f>G24=G25</f>
        <v>1</v>
      </c>
      <c r="H26" s="306" t="b">
        <f t="shared" ref="H26:J26" si="5">H24=H25</f>
        <v>1</v>
      </c>
      <c r="I26" s="306" t="b">
        <f t="shared" si="5"/>
        <v>1</v>
      </c>
      <c r="J26" s="306" t="b">
        <f t="shared" si="5"/>
        <v>1</v>
      </c>
      <c r="K26" s="306"/>
      <c r="L26" s="306"/>
      <c r="M26" s="306"/>
      <c r="N26" s="306"/>
      <c r="O26" s="306"/>
      <c r="P26" s="306"/>
    </row>
    <row r="27" spans="1:36" ht="36" customHeight="1" x14ac:dyDescent="0.25">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t="15" hidden="1" x14ac:dyDescent="0.25">
      <c r="A36" s="598" t="s">
        <v>387</v>
      </c>
      <c r="B36" s="599"/>
      <c r="C36" s="599"/>
      <c r="D36" s="599"/>
      <c r="E36" s="599"/>
      <c r="F36" s="599"/>
      <c r="G36" s="599"/>
      <c r="H36" s="599"/>
      <c r="I36" s="599"/>
      <c r="J36" s="599"/>
      <c r="K36" s="599"/>
      <c r="L36" s="599"/>
      <c r="M36" s="599"/>
      <c r="N36" s="599"/>
      <c r="O36" s="599"/>
      <c r="P36" s="600"/>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1.5"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374.25" customHeight="1" thickBot="1" x14ac:dyDescent="0.3">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1">
    <mergeCell ref="A6:P6"/>
    <mergeCell ref="A7:P7"/>
    <mergeCell ref="A8:F8"/>
    <mergeCell ref="G8:P8"/>
    <mergeCell ref="A9:F9"/>
    <mergeCell ref="G9:P9"/>
    <mergeCell ref="A24:F24"/>
    <mergeCell ref="P11:P13"/>
    <mergeCell ref="C12:E12"/>
    <mergeCell ref="F12:F13"/>
    <mergeCell ref="G12:G13"/>
    <mergeCell ref="H12:J12"/>
    <mergeCell ref="K12:K13"/>
    <mergeCell ref="L12:L13"/>
    <mergeCell ref="N12:N13"/>
    <mergeCell ref="O12:O13"/>
    <mergeCell ref="N11:O11"/>
    <mergeCell ref="A11:B13"/>
    <mergeCell ref="C11:F11"/>
    <mergeCell ref="G11:J11"/>
    <mergeCell ref="K11:L11"/>
    <mergeCell ref="M11:M13"/>
    <mergeCell ref="A19:B19"/>
    <mergeCell ref="A20:B20"/>
    <mergeCell ref="A21:B21"/>
    <mergeCell ref="A22:B22"/>
    <mergeCell ref="A23:B23"/>
    <mergeCell ref="Q14:W14"/>
    <mergeCell ref="A15:B15"/>
    <mergeCell ref="A16:B16"/>
    <mergeCell ref="A17:B17"/>
    <mergeCell ref="A18:B18"/>
    <mergeCell ref="C33:F33"/>
    <mergeCell ref="A35:P35"/>
    <mergeCell ref="A36:P84"/>
    <mergeCell ref="A27:P27"/>
    <mergeCell ref="A28:P28"/>
    <mergeCell ref="A29:F29"/>
    <mergeCell ref="C30:F30"/>
    <mergeCell ref="C31:F31"/>
    <mergeCell ref="C32:F32"/>
  </mergeCells>
  <dataValidations count="2">
    <dataValidation type="list" allowBlank="1" showInputMessage="1" showErrorMessage="1" sqref="M15:M23">
      <formula1>$BA$13:$BA$16</formula1>
    </dataValidation>
    <dataValidation type="list" allowBlank="1" showInputMessage="1" showErrorMessage="1" sqref="BA13:BA15">
      <formula1>$BA$13:$BA$15</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'AÇÕES ESTRATÉGICAS - DESCRIÇÃO '!$C$2:$C$22</xm:f>
          </x14:formula1>
          <xm:sqref>E22:E23</xm:sqref>
        </x14:dataValidation>
        <x14:dataValidation type="list" allowBlank="1" showInputMessage="1" showErrorMessage="1">
          <x14:formula1>
            <xm:f>[3]Resumo!#REF!</xm:f>
          </x14:formula1>
          <xm:sqref>E15 E19:E21</xm:sqref>
        </x14:dataValidation>
        <x14:dataValidation type="list" allowBlank="1" showInputMessage="1" showErrorMessage="1">
          <x14:formula1>
            <xm:f>'[3]Ações Estratégicas - Descrição'!#REF!</xm:f>
          </x14:formula1>
          <xm:sqref>E16:E18</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BA90"/>
  <sheetViews>
    <sheetView showGridLines="0" topLeftCell="G30" zoomScale="40" zoomScaleNormal="40" zoomScaleSheetLayoutView="80" workbookViewId="0">
      <selection activeCell="A42" sqref="A42:P90"/>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27.7109375" style="1" bestFit="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468</v>
      </c>
      <c r="H8" s="570"/>
      <c r="I8" s="570"/>
      <c r="J8" s="570"/>
      <c r="K8" s="570"/>
      <c r="L8" s="570"/>
      <c r="M8" s="570"/>
      <c r="N8" s="570"/>
      <c r="O8" s="570"/>
      <c r="P8" s="571"/>
      <c r="Q8" s="307" t="b">
        <f>G8='Quadro Geral'!E35</f>
        <v>1</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526</v>
      </c>
      <c r="H9" s="570"/>
      <c r="I9" s="570"/>
      <c r="J9" s="570"/>
      <c r="K9" s="570"/>
      <c r="L9" s="570"/>
      <c r="M9" s="570"/>
      <c r="N9" s="570"/>
      <c r="O9" s="570"/>
      <c r="P9" s="571"/>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198" t="s">
        <v>289</v>
      </c>
      <c r="D13" s="199" t="s">
        <v>288</v>
      </c>
      <c r="E13" s="130" t="s">
        <v>217</v>
      </c>
      <c r="F13" s="582"/>
      <c r="G13" s="582"/>
      <c r="H13" s="198" t="s">
        <v>373</v>
      </c>
      <c r="I13" s="198" t="s">
        <v>374</v>
      </c>
      <c r="J13" s="198"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105" x14ac:dyDescent="0.5">
      <c r="A15" s="590" t="s">
        <v>514</v>
      </c>
      <c r="B15" s="591"/>
      <c r="C15" s="200">
        <v>40</v>
      </c>
      <c r="D15" s="61" t="s">
        <v>662</v>
      </c>
      <c r="E15" s="61" t="s">
        <v>258</v>
      </c>
      <c r="F15" s="61" t="s">
        <v>663</v>
      </c>
      <c r="G15" s="68">
        <v>0</v>
      </c>
      <c r="H15" s="150">
        <v>0</v>
      </c>
      <c r="I15" s="150">
        <v>0</v>
      </c>
      <c r="J15" s="150">
        <f>H15+I15</f>
        <v>0</v>
      </c>
      <c r="K15" s="151">
        <f>J15-G15</f>
        <v>0</v>
      </c>
      <c r="L15" s="152">
        <f>IFERROR(K15/G15*100,0)</f>
        <v>0</v>
      </c>
      <c r="M15" s="152"/>
      <c r="N15" s="153"/>
      <c r="O15" s="154">
        <f>IFERROR(N15/J15*100,)</f>
        <v>0</v>
      </c>
      <c r="P15" s="61" t="s">
        <v>679</v>
      </c>
      <c r="Z15" s="3"/>
      <c r="AA15" s="118"/>
      <c r="AB15" s="116"/>
      <c r="AC15" s="116"/>
      <c r="AD15" s="116"/>
      <c r="AE15" s="116"/>
      <c r="AF15" s="116"/>
      <c r="AG15" s="3"/>
      <c r="AH15" s="3"/>
      <c r="AI15" s="3"/>
      <c r="AJ15" s="3"/>
      <c r="AZ15" s="188"/>
      <c r="BA15" s="188" t="s">
        <v>213</v>
      </c>
    </row>
    <row r="16" spans="1:53" ht="131.25" x14ac:dyDescent="0.5">
      <c r="A16" s="590" t="s">
        <v>514</v>
      </c>
      <c r="B16" s="591"/>
      <c r="C16" s="200">
        <v>15</v>
      </c>
      <c r="D16" s="214" t="s">
        <v>664</v>
      </c>
      <c r="E16" s="61" t="s">
        <v>258</v>
      </c>
      <c r="F16" s="61" t="s">
        <v>665</v>
      </c>
      <c r="G16" s="68">
        <v>0</v>
      </c>
      <c r="H16" s="150">
        <v>0</v>
      </c>
      <c r="I16" s="150">
        <v>0</v>
      </c>
      <c r="J16" s="150">
        <f t="shared" ref="J16:J29" si="1">H16+I16</f>
        <v>0</v>
      </c>
      <c r="K16" s="151">
        <f t="shared" ref="K16:K22" si="2">J16-G16</f>
        <v>0</v>
      </c>
      <c r="L16" s="152">
        <f t="shared" ref="L16:L30" si="3">IFERROR(K16/G16*100,0)</f>
        <v>0</v>
      </c>
      <c r="M16" s="152"/>
      <c r="N16" s="153"/>
      <c r="O16" s="154">
        <f t="shared" ref="O16:O30" si="4">IFERROR(N16/J16*100,)</f>
        <v>0</v>
      </c>
      <c r="P16" s="61" t="s">
        <v>679</v>
      </c>
      <c r="Z16" s="3"/>
      <c r="AA16" s="118"/>
      <c r="AB16" s="116"/>
      <c r="AC16" s="116"/>
      <c r="AD16" s="116"/>
      <c r="AE16" s="116"/>
      <c r="AF16" s="116"/>
      <c r="AG16" s="3"/>
      <c r="AH16" s="3"/>
      <c r="AI16" s="3"/>
      <c r="AJ16" s="3"/>
      <c r="AZ16" s="188"/>
      <c r="BA16" s="188" t="s">
        <v>371</v>
      </c>
    </row>
    <row r="17" spans="1:36" ht="131.25" x14ac:dyDescent="0.4">
      <c r="A17" s="590" t="s">
        <v>514</v>
      </c>
      <c r="B17" s="591"/>
      <c r="C17" s="200">
        <v>220</v>
      </c>
      <c r="D17" s="61" t="s">
        <v>666</v>
      </c>
      <c r="E17" s="61" t="s">
        <v>262</v>
      </c>
      <c r="F17" s="61" t="s">
        <v>663</v>
      </c>
      <c r="G17" s="68">
        <v>0</v>
      </c>
      <c r="H17" s="150">
        <v>0</v>
      </c>
      <c r="I17" s="150">
        <v>0</v>
      </c>
      <c r="J17" s="150">
        <f t="shared" si="1"/>
        <v>0</v>
      </c>
      <c r="K17" s="151">
        <f t="shared" si="2"/>
        <v>0</v>
      </c>
      <c r="L17" s="152">
        <f t="shared" si="3"/>
        <v>0</v>
      </c>
      <c r="M17" s="152"/>
      <c r="N17" s="153"/>
      <c r="O17" s="154">
        <f t="shared" si="4"/>
        <v>0</v>
      </c>
      <c r="P17" s="61" t="s">
        <v>679</v>
      </c>
      <c r="Z17" s="3"/>
      <c r="AA17" s="118"/>
      <c r="AB17" s="116"/>
      <c r="AC17" s="116"/>
      <c r="AD17" s="116"/>
      <c r="AE17" s="116"/>
      <c r="AF17" s="116"/>
      <c r="AG17" s="3"/>
      <c r="AH17" s="3"/>
      <c r="AI17" s="3"/>
      <c r="AJ17" s="3"/>
    </row>
    <row r="18" spans="1:36" ht="157.5" x14ac:dyDescent="0.4">
      <c r="A18" s="590" t="s">
        <v>514</v>
      </c>
      <c r="B18" s="591"/>
      <c r="C18" s="200">
        <v>120</v>
      </c>
      <c r="D18" s="61" t="s">
        <v>667</v>
      </c>
      <c r="E18" s="61" t="s">
        <v>262</v>
      </c>
      <c r="F18" s="61" t="s">
        <v>668</v>
      </c>
      <c r="G18" s="68">
        <v>0</v>
      </c>
      <c r="H18" s="150">
        <v>0</v>
      </c>
      <c r="I18" s="150">
        <v>0</v>
      </c>
      <c r="J18" s="150">
        <f t="shared" si="1"/>
        <v>0</v>
      </c>
      <c r="K18" s="151">
        <f t="shared" si="2"/>
        <v>0</v>
      </c>
      <c r="L18" s="152">
        <f t="shared" si="3"/>
        <v>0</v>
      </c>
      <c r="M18" s="152"/>
      <c r="N18" s="153"/>
      <c r="O18" s="154">
        <f t="shared" si="4"/>
        <v>0</v>
      </c>
      <c r="P18" s="61" t="s">
        <v>679</v>
      </c>
      <c r="Z18" s="3"/>
      <c r="AA18" s="118"/>
      <c r="AB18" s="116"/>
      <c r="AC18" s="116"/>
      <c r="AD18" s="116"/>
      <c r="AE18" s="116"/>
      <c r="AF18" s="116"/>
      <c r="AG18" s="3"/>
      <c r="AH18" s="3"/>
      <c r="AI18" s="3"/>
      <c r="AJ18" s="3"/>
    </row>
    <row r="19" spans="1:36" ht="105" x14ac:dyDescent="0.25">
      <c r="A19" s="590" t="s">
        <v>514</v>
      </c>
      <c r="B19" s="591"/>
      <c r="C19" s="200" t="s">
        <v>669</v>
      </c>
      <c r="D19" s="61" t="s">
        <v>670</v>
      </c>
      <c r="E19" s="61" t="s">
        <v>258</v>
      </c>
      <c r="F19" s="61" t="s">
        <v>671</v>
      </c>
      <c r="G19" s="68">
        <v>0</v>
      </c>
      <c r="H19" s="150">
        <v>0</v>
      </c>
      <c r="I19" s="150">
        <v>0</v>
      </c>
      <c r="J19" s="150">
        <f t="shared" si="1"/>
        <v>0</v>
      </c>
      <c r="K19" s="151">
        <f t="shared" si="2"/>
        <v>0</v>
      </c>
      <c r="L19" s="152">
        <f t="shared" si="3"/>
        <v>0</v>
      </c>
      <c r="M19" s="152"/>
      <c r="N19" s="153"/>
      <c r="O19" s="154">
        <f t="shared" si="4"/>
        <v>0</v>
      </c>
      <c r="P19" s="61" t="s">
        <v>679</v>
      </c>
      <c r="Z19" s="3"/>
      <c r="AA19" s="3"/>
      <c r="AB19" s="3"/>
      <c r="AC19" s="3"/>
      <c r="AD19" s="3"/>
      <c r="AE19" s="3"/>
      <c r="AF19" s="3"/>
      <c r="AG19" s="3"/>
      <c r="AH19" s="3"/>
      <c r="AI19" s="3"/>
      <c r="AJ19" s="3"/>
    </row>
    <row r="20" spans="1:36" ht="131.25" x14ac:dyDescent="0.25">
      <c r="A20" s="590" t="s">
        <v>514</v>
      </c>
      <c r="B20" s="591"/>
      <c r="C20" s="200">
        <v>2</v>
      </c>
      <c r="D20" s="61" t="s">
        <v>672</v>
      </c>
      <c r="E20" s="61" t="s">
        <v>264</v>
      </c>
      <c r="F20" s="61" t="s">
        <v>673</v>
      </c>
      <c r="G20" s="68">
        <v>0</v>
      </c>
      <c r="H20" s="150">
        <v>0</v>
      </c>
      <c r="I20" s="150">
        <v>0</v>
      </c>
      <c r="J20" s="150">
        <f t="shared" si="1"/>
        <v>0</v>
      </c>
      <c r="K20" s="151">
        <f t="shared" si="2"/>
        <v>0</v>
      </c>
      <c r="L20" s="152">
        <f t="shared" si="3"/>
        <v>0</v>
      </c>
      <c r="M20" s="152"/>
      <c r="N20" s="153"/>
      <c r="O20" s="154">
        <f t="shared" si="4"/>
        <v>0</v>
      </c>
      <c r="P20" s="61" t="s">
        <v>679</v>
      </c>
      <c r="Z20" s="3"/>
      <c r="AA20" s="3"/>
      <c r="AB20" s="3"/>
      <c r="AC20" s="3"/>
      <c r="AD20" s="3"/>
      <c r="AE20" s="3"/>
      <c r="AF20" s="3"/>
      <c r="AG20" s="3"/>
      <c r="AH20" s="3"/>
      <c r="AI20" s="3"/>
      <c r="AJ20" s="3"/>
    </row>
    <row r="21" spans="1:36" ht="52.5" x14ac:dyDescent="0.25">
      <c r="A21" s="590" t="s">
        <v>512</v>
      </c>
      <c r="B21" s="591"/>
      <c r="C21" s="200">
        <v>1</v>
      </c>
      <c r="D21" s="61" t="s">
        <v>674</v>
      </c>
      <c r="E21" s="61" t="s">
        <v>258</v>
      </c>
      <c r="F21" s="61" t="s">
        <v>524</v>
      </c>
      <c r="G21" s="210">
        <v>341331.61</v>
      </c>
      <c r="H21" s="231">
        <v>119659.41</v>
      </c>
      <c r="I21" s="231">
        <f>303724.28-H21</f>
        <v>184064.87000000002</v>
      </c>
      <c r="J21" s="231">
        <f t="shared" si="1"/>
        <v>303724.28000000003</v>
      </c>
      <c r="K21" s="151">
        <f t="shared" si="2"/>
        <v>-37607.329999999958</v>
      </c>
      <c r="L21" s="152">
        <f t="shared" si="3"/>
        <v>-11.017828088057815</v>
      </c>
      <c r="M21" s="152" t="s">
        <v>371</v>
      </c>
      <c r="N21" s="153"/>
      <c r="O21" s="154">
        <f t="shared" si="4"/>
        <v>0</v>
      </c>
      <c r="P21" s="61" t="s">
        <v>679</v>
      </c>
      <c r="AA21" s="178"/>
    </row>
    <row r="22" spans="1:36" ht="52.5" x14ac:dyDescent="0.25">
      <c r="A22" s="590" t="s">
        <v>513</v>
      </c>
      <c r="B22" s="591"/>
      <c r="C22" s="200">
        <v>6</v>
      </c>
      <c r="D22" s="61" t="s">
        <v>675</v>
      </c>
      <c r="E22" s="61" t="s">
        <v>264</v>
      </c>
      <c r="F22" s="61" t="s">
        <v>676</v>
      </c>
      <c r="G22" s="210">
        <v>10000</v>
      </c>
      <c r="H22" s="231">
        <v>0</v>
      </c>
      <c r="I22" s="231">
        <v>0</v>
      </c>
      <c r="J22" s="231">
        <f t="shared" si="1"/>
        <v>0</v>
      </c>
      <c r="K22" s="151">
        <f t="shared" si="2"/>
        <v>-10000</v>
      </c>
      <c r="L22" s="152">
        <f t="shared" si="3"/>
        <v>-100</v>
      </c>
      <c r="M22" s="152" t="s">
        <v>371</v>
      </c>
      <c r="N22" s="153"/>
      <c r="O22" s="154">
        <f t="shared" si="4"/>
        <v>0</v>
      </c>
      <c r="P22" s="61" t="s">
        <v>679</v>
      </c>
    </row>
    <row r="23" spans="1:36" ht="52.5" x14ac:dyDescent="0.4">
      <c r="A23" s="590" t="s">
        <v>513</v>
      </c>
      <c r="B23" s="591"/>
      <c r="C23" s="200">
        <v>6</v>
      </c>
      <c r="D23" s="61" t="s">
        <v>677</v>
      </c>
      <c r="E23" s="61" t="s">
        <v>264</v>
      </c>
      <c r="F23" s="61" t="s">
        <v>676</v>
      </c>
      <c r="G23" s="210">
        <v>15000</v>
      </c>
      <c r="H23" s="231">
        <v>0</v>
      </c>
      <c r="I23" s="231">
        <v>0</v>
      </c>
      <c r="J23" s="231">
        <f t="shared" si="1"/>
        <v>0</v>
      </c>
      <c r="K23" s="151">
        <f t="shared" ref="K23:K28" si="5">J23-G23</f>
        <v>-15000</v>
      </c>
      <c r="L23" s="152">
        <f t="shared" ref="L23:L28" si="6">IFERROR(K23/G23*100,0)</f>
        <v>-100</v>
      </c>
      <c r="M23" s="152" t="s">
        <v>371</v>
      </c>
      <c r="N23" s="153"/>
      <c r="O23" s="154">
        <f t="shared" ref="O23:O28" si="7">IFERROR(N23/J23*100,)</f>
        <v>0</v>
      </c>
      <c r="P23" s="61" t="s">
        <v>679</v>
      </c>
      <c r="Z23" s="3"/>
      <c r="AA23" s="118"/>
      <c r="AB23" s="116"/>
      <c r="AC23" s="116"/>
      <c r="AD23" s="116"/>
      <c r="AE23" s="116"/>
      <c r="AF23" s="116"/>
      <c r="AG23" s="3"/>
      <c r="AH23" s="3"/>
      <c r="AI23" s="3"/>
      <c r="AJ23" s="3"/>
    </row>
    <row r="24" spans="1:36" ht="52.5" x14ac:dyDescent="0.4">
      <c r="A24" s="590" t="s">
        <v>512</v>
      </c>
      <c r="B24" s="591"/>
      <c r="C24" s="200">
        <v>5</v>
      </c>
      <c r="D24" s="61" t="s">
        <v>678</v>
      </c>
      <c r="E24" s="61" t="s">
        <v>264</v>
      </c>
      <c r="F24" s="61" t="s">
        <v>676</v>
      </c>
      <c r="G24" s="210">
        <v>5000</v>
      </c>
      <c r="H24" s="231">
        <v>0</v>
      </c>
      <c r="I24" s="231">
        <v>3016.8</v>
      </c>
      <c r="J24" s="231">
        <f t="shared" si="1"/>
        <v>3016.8</v>
      </c>
      <c r="K24" s="151">
        <f t="shared" si="5"/>
        <v>-1983.1999999999998</v>
      </c>
      <c r="L24" s="152">
        <f t="shared" si="6"/>
        <v>-39.663999999999994</v>
      </c>
      <c r="M24" s="152" t="s">
        <v>371</v>
      </c>
      <c r="N24" s="153"/>
      <c r="O24" s="154">
        <f t="shared" si="7"/>
        <v>0</v>
      </c>
      <c r="P24" s="61" t="s">
        <v>679</v>
      </c>
      <c r="Z24" s="3"/>
      <c r="AA24" s="118"/>
      <c r="AB24" s="116"/>
      <c r="AC24" s="116"/>
      <c r="AD24" s="116"/>
      <c r="AE24" s="116"/>
      <c r="AF24" s="116"/>
      <c r="AG24" s="3"/>
      <c r="AH24" s="3"/>
      <c r="AI24" s="3"/>
      <c r="AJ24" s="3"/>
    </row>
    <row r="25" spans="1:36" ht="28.5" hidden="1" x14ac:dyDescent="0.25">
      <c r="A25" s="590"/>
      <c r="B25" s="591"/>
      <c r="C25" s="200"/>
      <c r="D25" s="61"/>
      <c r="E25" s="61"/>
      <c r="F25" s="61"/>
      <c r="G25" s="203"/>
      <c r="H25" s="150"/>
      <c r="I25" s="150"/>
      <c r="J25" s="150">
        <f t="shared" ref="J25:J28" si="8">H25+I25</f>
        <v>0</v>
      </c>
      <c r="K25" s="151">
        <f t="shared" si="5"/>
        <v>0</v>
      </c>
      <c r="L25" s="152">
        <f t="shared" si="6"/>
        <v>0</v>
      </c>
      <c r="M25" s="152"/>
      <c r="N25" s="153"/>
      <c r="O25" s="154">
        <f t="shared" si="7"/>
        <v>0</v>
      </c>
      <c r="P25" s="155"/>
      <c r="Z25" s="3"/>
      <c r="AA25" s="3"/>
      <c r="AB25" s="3"/>
      <c r="AC25" s="3"/>
      <c r="AD25" s="3"/>
      <c r="AE25" s="3"/>
      <c r="AF25" s="3"/>
      <c r="AG25" s="3"/>
      <c r="AH25" s="3"/>
      <c r="AI25" s="3"/>
      <c r="AJ25" s="3"/>
    </row>
    <row r="26" spans="1:36" ht="55.5" hidden="1" customHeight="1" x14ac:dyDescent="0.25">
      <c r="A26" s="590"/>
      <c r="B26" s="591"/>
      <c r="C26" s="61"/>
      <c r="D26" s="61"/>
      <c r="E26" s="61"/>
      <c r="F26" s="61"/>
      <c r="G26" s="150"/>
      <c r="H26" s="150"/>
      <c r="I26" s="150"/>
      <c r="J26" s="150">
        <f t="shared" si="8"/>
        <v>0</v>
      </c>
      <c r="K26" s="151">
        <f t="shared" si="5"/>
        <v>0</v>
      </c>
      <c r="L26" s="152">
        <f t="shared" si="6"/>
        <v>0</v>
      </c>
      <c r="M26" s="152"/>
      <c r="N26" s="153"/>
      <c r="O26" s="154">
        <f t="shared" si="7"/>
        <v>0</v>
      </c>
      <c r="P26" s="155"/>
      <c r="Z26" s="3"/>
      <c r="AA26" s="3"/>
      <c r="AB26" s="3"/>
      <c r="AC26" s="3"/>
      <c r="AD26" s="3"/>
      <c r="AE26" s="3"/>
      <c r="AF26" s="3"/>
      <c r="AG26" s="3"/>
      <c r="AH26" s="3"/>
      <c r="AI26" s="3"/>
      <c r="AJ26" s="3"/>
    </row>
    <row r="27" spans="1:36" ht="55.5" hidden="1" customHeight="1" x14ac:dyDescent="0.25">
      <c r="A27" s="590"/>
      <c r="B27" s="591"/>
      <c r="C27" s="61"/>
      <c r="D27" s="61"/>
      <c r="E27" s="61"/>
      <c r="F27" s="61"/>
      <c r="G27" s="150"/>
      <c r="H27" s="150"/>
      <c r="I27" s="150"/>
      <c r="J27" s="150">
        <f t="shared" si="8"/>
        <v>0</v>
      </c>
      <c r="K27" s="151">
        <f t="shared" si="5"/>
        <v>0</v>
      </c>
      <c r="L27" s="152">
        <f t="shared" si="6"/>
        <v>0</v>
      </c>
      <c r="M27" s="152"/>
      <c r="N27" s="153"/>
      <c r="O27" s="154">
        <f t="shared" si="7"/>
        <v>0</v>
      </c>
      <c r="P27" s="155"/>
      <c r="AA27" s="178"/>
    </row>
    <row r="28" spans="1:36" ht="55.5" hidden="1" customHeight="1" x14ac:dyDescent="0.25">
      <c r="A28" s="590"/>
      <c r="B28" s="591"/>
      <c r="C28" s="61"/>
      <c r="D28" s="61"/>
      <c r="E28" s="61"/>
      <c r="F28" s="61"/>
      <c r="G28" s="150"/>
      <c r="H28" s="150"/>
      <c r="I28" s="150"/>
      <c r="J28" s="150">
        <f t="shared" si="8"/>
        <v>0</v>
      </c>
      <c r="K28" s="151">
        <f t="shared" si="5"/>
        <v>0</v>
      </c>
      <c r="L28" s="152">
        <f t="shared" si="6"/>
        <v>0</v>
      </c>
      <c r="M28" s="152"/>
      <c r="N28" s="153"/>
      <c r="O28" s="154">
        <f t="shared" si="7"/>
        <v>0</v>
      </c>
      <c r="P28" s="155"/>
    </row>
    <row r="29" spans="1:36" ht="55.5" hidden="1" customHeight="1" x14ac:dyDescent="0.25">
      <c r="A29" s="590"/>
      <c r="B29" s="591"/>
      <c r="C29" s="61"/>
      <c r="D29" s="61"/>
      <c r="E29" s="61"/>
      <c r="F29" s="61"/>
      <c r="G29" s="150"/>
      <c r="H29" s="150"/>
      <c r="I29" s="150"/>
      <c r="J29" s="150">
        <f t="shared" si="1"/>
        <v>0</v>
      </c>
      <c r="K29" s="151">
        <f>J29-G29</f>
        <v>0</v>
      </c>
      <c r="L29" s="152">
        <f t="shared" si="3"/>
        <v>0</v>
      </c>
      <c r="M29" s="152"/>
      <c r="N29" s="153"/>
      <c r="O29" s="154">
        <f t="shared" si="4"/>
        <v>0</v>
      </c>
      <c r="P29" s="155"/>
    </row>
    <row r="30" spans="1:36" s="2" customFormat="1" ht="72" customHeight="1" x14ac:dyDescent="0.45">
      <c r="A30" s="592" t="s">
        <v>0</v>
      </c>
      <c r="B30" s="593"/>
      <c r="C30" s="593"/>
      <c r="D30" s="593"/>
      <c r="E30" s="593"/>
      <c r="F30" s="593"/>
      <c r="G30" s="234">
        <f>SUM(G14:G29)</f>
        <v>371331.61</v>
      </c>
      <c r="H30" s="234">
        <f>SUM(H14:H29)</f>
        <v>119659.41</v>
      </c>
      <c r="I30" s="234">
        <f>SUM(I14:I29)</f>
        <v>187081.67</v>
      </c>
      <c r="J30" s="234">
        <f>SUM(J14:J29)</f>
        <v>306741.08</v>
      </c>
      <c r="K30" s="156">
        <f>J30-G30</f>
        <v>-64590.52999999997</v>
      </c>
      <c r="L30" s="156">
        <f t="shared" si="3"/>
        <v>-17.394298858640116</v>
      </c>
      <c r="M30" s="156"/>
      <c r="N30" s="157">
        <f>SUM(N14:N29)</f>
        <v>0</v>
      </c>
      <c r="O30" s="156">
        <f t="shared" si="4"/>
        <v>0</v>
      </c>
      <c r="P30" s="158"/>
    </row>
    <row r="31" spans="1:36" s="307" customFormat="1" ht="28.5" x14ac:dyDescent="0.45">
      <c r="G31" s="309">
        <f>'Quadro Geral'!J35</f>
        <v>371331.61</v>
      </c>
      <c r="H31" s="309">
        <f>'Quadro Geral'!K35</f>
        <v>119659.41</v>
      </c>
      <c r="I31" s="317">
        <f>'Quadro Geral'!L35</f>
        <v>187081.67</v>
      </c>
      <c r="J31" s="317">
        <f>'Quadro Geral'!M35</f>
        <v>306741.08</v>
      </c>
    </row>
    <row r="32" spans="1:36" x14ac:dyDescent="0.4">
      <c r="A32" s="306" t="s">
        <v>296</v>
      </c>
      <c r="B32" s="306"/>
      <c r="C32" s="306"/>
      <c r="D32" s="306"/>
      <c r="E32" s="306"/>
      <c r="F32" s="306"/>
      <c r="G32" s="306" t="b">
        <f>G30=G31</f>
        <v>1</v>
      </c>
      <c r="H32" s="306" t="b">
        <f t="shared" ref="H32:J32" si="9">H30=H31</f>
        <v>1</v>
      </c>
      <c r="I32" s="306" t="b">
        <f t="shared" si="9"/>
        <v>1</v>
      </c>
      <c r="J32" s="306" t="b">
        <f t="shared" si="9"/>
        <v>1</v>
      </c>
      <c r="K32" s="306"/>
      <c r="L32" s="306"/>
      <c r="M32" s="306"/>
      <c r="N32" s="306"/>
      <c r="O32" s="306"/>
      <c r="P32" s="306"/>
    </row>
    <row r="33" spans="1:20" ht="36" customHeight="1" x14ac:dyDescent="0.25">
      <c r="A33" s="607" t="s">
        <v>292</v>
      </c>
      <c r="B33" s="608"/>
      <c r="C33" s="608"/>
      <c r="D33" s="608"/>
      <c r="E33" s="608"/>
      <c r="F33" s="608"/>
      <c r="G33" s="608"/>
      <c r="H33" s="608"/>
      <c r="I33" s="608"/>
      <c r="J33" s="608"/>
      <c r="K33" s="608"/>
      <c r="L33" s="608"/>
      <c r="M33" s="608"/>
      <c r="N33" s="608"/>
      <c r="O33" s="608"/>
      <c r="P33" s="609"/>
    </row>
    <row r="34" spans="1:20" ht="95.25" customHeight="1" x14ac:dyDescent="0.4">
      <c r="A34" s="610"/>
      <c r="B34" s="611"/>
      <c r="C34" s="611"/>
      <c r="D34" s="611"/>
      <c r="E34" s="611"/>
      <c r="F34" s="611"/>
      <c r="G34" s="611"/>
      <c r="H34" s="611"/>
      <c r="I34" s="611"/>
      <c r="J34" s="611"/>
      <c r="K34" s="611"/>
      <c r="L34" s="611"/>
      <c r="M34" s="611"/>
      <c r="N34" s="611"/>
      <c r="O34" s="611"/>
      <c r="P34" s="612"/>
    </row>
    <row r="35" spans="1:20" ht="15" hidden="1" customHeight="1" x14ac:dyDescent="0.4">
      <c r="A35" s="613" t="s">
        <v>5</v>
      </c>
      <c r="B35" s="613"/>
      <c r="C35" s="613"/>
      <c r="D35" s="613"/>
      <c r="E35" s="613"/>
      <c r="F35" s="613"/>
      <c r="G35" s="179"/>
      <c r="H35" s="179"/>
      <c r="I35" s="179"/>
      <c r="J35" s="179"/>
      <c r="K35" s="179"/>
      <c r="L35" s="179"/>
      <c r="M35" s="179"/>
      <c r="N35" s="179"/>
      <c r="O35" s="179"/>
      <c r="P35" s="179"/>
    </row>
    <row r="36" spans="1:20" ht="15" hidden="1" customHeight="1" x14ac:dyDescent="0.4">
      <c r="A36" s="70" t="s">
        <v>9</v>
      </c>
      <c r="B36" s="70"/>
      <c r="C36" s="594" t="s">
        <v>13</v>
      </c>
      <c r="D36" s="594"/>
      <c r="E36" s="594"/>
      <c r="F36" s="594"/>
      <c r="N36" s="42"/>
      <c r="O36" s="42"/>
      <c r="P36" s="42"/>
    </row>
    <row r="37" spans="1:20" ht="15" hidden="1" customHeight="1" x14ac:dyDescent="0.4">
      <c r="A37" s="70" t="s">
        <v>10</v>
      </c>
      <c r="B37" s="70"/>
      <c r="C37" s="594" t="s">
        <v>6</v>
      </c>
      <c r="D37" s="594"/>
      <c r="E37" s="594"/>
      <c r="F37" s="594"/>
      <c r="N37" s="42"/>
      <c r="O37" s="42"/>
      <c r="P37" s="42"/>
    </row>
    <row r="38" spans="1:20" ht="15" hidden="1" customHeight="1" x14ac:dyDescent="0.4">
      <c r="A38" s="70" t="s">
        <v>11</v>
      </c>
      <c r="B38" s="70"/>
      <c r="C38" s="594" t="s">
        <v>7</v>
      </c>
      <c r="D38" s="594"/>
      <c r="E38" s="594"/>
      <c r="F38" s="594"/>
      <c r="N38" s="42"/>
      <c r="O38" s="42"/>
      <c r="P38" s="42"/>
    </row>
    <row r="39" spans="1:20" ht="15" hidden="1" customHeight="1" x14ac:dyDescent="0.4">
      <c r="A39" s="70" t="s">
        <v>12</v>
      </c>
      <c r="B39" s="70"/>
      <c r="C39" s="594" t="s">
        <v>8</v>
      </c>
      <c r="D39" s="594"/>
      <c r="E39" s="594"/>
      <c r="F39" s="594"/>
      <c r="N39" s="42"/>
      <c r="O39" s="42"/>
      <c r="P39" s="42"/>
    </row>
    <row r="40" spans="1:20" ht="35.25" customHeight="1" x14ac:dyDescent="0.4"/>
    <row r="41" spans="1:20" x14ac:dyDescent="0.25">
      <c r="A41" s="595" t="s">
        <v>297</v>
      </c>
      <c r="B41" s="596"/>
      <c r="C41" s="596"/>
      <c r="D41" s="596"/>
      <c r="E41" s="596"/>
      <c r="F41" s="596"/>
      <c r="G41" s="596"/>
      <c r="H41" s="596"/>
      <c r="I41" s="596"/>
      <c r="J41" s="596"/>
      <c r="K41" s="596"/>
      <c r="L41" s="596"/>
      <c r="M41" s="596"/>
      <c r="N41" s="596"/>
      <c r="O41" s="596"/>
      <c r="P41" s="597"/>
      <c r="Q41" s="180"/>
      <c r="R41" s="180"/>
      <c r="S41" s="180"/>
      <c r="T41" s="30"/>
    </row>
    <row r="42" spans="1:20" ht="15" hidden="1" x14ac:dyDescent="0.25">
      <c r="A42" s="598" t="s">
        <v>387</v>
      </c>
      <c r="B42" s="599"/>
      <c r="C42" s="599"/>
      <c r="D42" s="599"/>
      <c r="E42" s="599"/>
      <c r="F42" s="599"/>
      <c r="G42" s="599"/>
      <c r="H42" s="599"/>
      <c r="I42" s="599"/>
      <c r="J42" s="599"/>
      <c r="K42" s="599"/>
      <c r="L42" s="599"/>
      <c r="M42" s="599"/>
      <c r="N42" s="599"/>
      <c r="O42" s="599"/>
      <c r="P42" s="600"/>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15" hidden="1" x14ac:dyDescent="0.25">
      <c r="A45" s="601"/>
      <c r="B45" s="602"/>
      <c r="C45" s="602"/>
      <c r="D45" s="602"/>
      <c r="E45" s="602"/>
      <c r="F45" s="602"/>
      <c r="G45" s="602"/>
      <c r="H45" s="602"/>
      <c r="I45" s="602"/>
      <c r="J45" s="602"/>
      <c r="K45" s="602"/>
      <c r="L45" s="602"/>
      <c r="M45" s="602"/>
      <c r="N45" s="602"/>
      <c r="O45" s="602"/>
      <c r="P45" s="603"/>
    </row>
    <row r="46" spans="1:20" ht="15" hidden="1" x14ac:dyDescent="0.25">
      <c r="A46" s="601"/>
      <c r="B46" s="602"/>
      <c r="C46" s="602"/>
      <c r="D46" s="602"/>
      <c r="E46" s="602"/>
      <c r="F46" s="602"/>
      <c r="G46" s="602"/>
      <c r="H46" s="602"/>
      <c r="I46" s="602"/>
      <c r="J46" s="602"/>
      <c r="K46" s="602"/>
      <c r="L46" s="602"/>
      <c r="M46" s="602"/>
      <c r="N46" s="602"/>
      <c r="O46" s="602"/>
      <c r="P46" s="603"/>
    </row>
    <row r="47" spans="1:20" ht="15" hidden="1" x14ac:dyDescent="0.25">
      <c r="A47" s="601"/>
      <c r="B47" s="602"/>
      <c r="C47" s="602"/>
      <c r="D47" s="602"/>
      <c r="E47" s="602"/>
      <c r="F47" s="602"/>
      <c r="G47" s="602"/>
      <c r="H47" s="602"/>
      <c r="I47" s="602"/>
      <c r="J47" s="602"/>
      <c r="K47" s="602"/>
      <c r="L47" s="602"/>
      <c r="M47" s="602"/>
      <c r="N47" s="602"/>
      <c r="O47" s="602"/>
      <c r="P47" s="603"/>
    </row>
    <row r="48" spans="1:20" ht="15" hidden="1" x14ac:dyDescent="0.25">
      <c r="A48" s="601"/>
      <c r="B48" s="602"/>
      <c r="C48" s="602"/>
      <c r="D48" s="602"/>
      <c r="E48" s="602"/>
      <c r="F48" s="602"/>
      <c r="G48" s="602"/>
      <c r="H48" s="602"/>
      <c r="I48" s="602"/>
      <c r="J48" s="602"/>
      <c r="K48" s="602"/>
      <c r="L48" s="602"/>
      <c r="M48" s="602"/>
      <c r="N48" s="602"/>
      <c r="O48" s="602"/>
      <c r="P48" s="603"/>
    </row>
    <row r="49" spans="1:16" ht="15" hidden="1" x14ac:dyDescent="0.25">
      <c r="A49" s="601"/>
      <c r="B49" s="602"/>
      <c r="C49" s="602"/>
      <c r="D49" s="602"/>
      <c r="E49" s="602"/>
      <c r="F49" s="602"/>
      <c r="G49" s="602"/>
      <c r="H49" s="602"/>
      <c r="I49" s="602"/>
      <c r="J49" s="602"/>
      <c r="K49" s="602"/>
      <c r="L49" s="602"/>
      <c r="M49" s="602"/>
      <c r="N49" s="602"/>
      <c r="O49" s="602"/>
      <c r="P49" s="603"/>
    </row>
    <row r="50" spans="1:16" ht="15" hidden="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hidden="1" customHeight="1" x14ac:dyDescent="0.25">
      <c r="A56" s="601"/>
      <c r="B56" s="602"/>
      <c r="C56" s="602"/>
      <c r="D56" s="602"/>
      <c r="E56" s="602"/>
      <c r="F56" s="602"/>
      <c r="G56" s="602"/>
      <c r="H56" s="602"/>
      <c r="I56" s="602"/>
      <c r="J56" s="602"/>
      <c r="K56" s="602"/>
      <c r="L56" s="602"/>
      <c r="M56" s="602"/>
      <c r="N56" s="602"/>
      <c r="O56" s="602"/>
      <c r="P56" s="603"/>
    </row>
    <row r="57" spans="1:16" ht="26.25" hidden="1" customHeight="1" x14ac:dyDescent="0.25">
      <c r="A57" s="601"/>
      <c r="B57" s="602"/>
      <c r="C57" s="602"/>
      <c r="D57" s="602"/>
      <c r="E57" s="602"/>
      <c r="F57" s="602"/>
      <c r="G57" s="602"/>
      <c r="H57" s="602"/>
      <c r="I57" s="602"/>
      <c r="J57" s="602"/>
      <c r="K57" s="602"/>
      <c r="L57" s="602"/>
      <c r="M57" s="602"/>
      <c r="N57" s="602"/>
      <c r="O57" s="602"/>
      <c r="P57" s="603"/>
    </row>
    <row r="58" spans="1:16" ht="26.25" hidden="1" customHeight="1" x14ac:dyDescent="0.25">
      <c r="A58" s="601"/>
      <c r="B58" s="602"/>
      <c r="C58" s="602"/>
      <c r="D58" s="602"/>
      <c r="E58" s="602"/>
      <c r="F58" s="602"/>
      <c r="G58" s="602"/>
      <c r="H58" s="602"/>
      <c r="I58" s="602"/>
      <c r="J58" s="602"/>
      <c r="K58" s="602"/>
      <c r="L58" s="602"/>
      <c r="M58" s="602"/>
      <c r="N58" s="602"/>
      <c r="O58" s="602"/>
      <c r="P58" s="603"/>
    </row>
    <row r="59" spans="1:16" ht="26.25" hidden="1" customHeight="1" x14ac:dyDescent="0.25">
      <c r="A59" s="601"/>
      <c r="B59" s="602"/>
      <c r="C59" s="602"/>
      <c r="D59" s="602"/>
      <c r="E59" s="602"/>
      <c r="F59" s="602"/>
      <c r="G59" s="602"/>
      <c r="H59" s="602"/>
      <c r="I59" s="602"/>
      <c r="J59" s="602"/>
      <c r="K59" s="602"/>
      <c r="L59" s="602"/>
      <c r="M59" s="602"/>
      <c r="N59" s="602"/>
      <c r="O59" s="602"/>
      <c r="P59" s="603"/>
    </row>
    <row r="60" spans="1:16" ht="26.25" hidden="1" customHeight="1" x14ac:dyDescent="0.25">
      <c r="A60" s="601"/>
      <c r="B60" s="602"/>
      <c r="C60" s="602"/>
      <c r="D60" s="602"/>
      <c r="E60" s="602"/>
      <c r="F60" s="602"/>
      <c r="G60" s="602"/>
      <c r="H60" s="602"/>
      <c r="I60" s="602"/>
      <c r="J60" s="602"/>
      <c r="K60" s="602"/>
      <c r="L60" s="602"/>
      <c r="M60" s="602"/>
      <c r="N60" s="602"/>
      <c r="O60" s="602"/>
      <c r="P60" s="603"/>
    </row>
    <row r="61" spans="1:16" ht="26.25" hidden="1"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26.25" customHeight="1" x14ac:dyDescent="0.25">
      <c r="A71" s="601"/>
      <c r="B71" s="602"/>
      <c r="C71" s="602"/>
      <c r="D71" s="602"/>
      <c r="E71" s="602"/>
      <c r="F71" s="602"/>
      <c r="G71" s="602"/>
      <c r="H71" s="602"/>
      <c r="I71" s="602"/>
      <c r="J71" s="602"/>
      <c r="K71" s="602"/>
      <c r="L71" s="602"/>
      <c r="M71" s="602"/>
      <c r="N71" s="602"/>
      <c r="O71" s="602"/>
      <c r="P71" s="603"/>
    </row>
    <row r="72" spans="1:16" ht="26.25" customHeight="1" x14ac:dyDescent="0.25">
      <c r="A72" s="601"/>
      <c r="B72" s="602"/>
      <c r="C72" s="602"/>
      <c r="D72" s="602"/>
      <c r="E72" s="602"/>
      <c r="F72" s="602"/>
      <c r="G72" s="602"/>
      <c r="H72" s="602"/>
      <c r="I72" s="602"/>
      <c r="J72" s="602"/>
      <c r="K72" s="602"/>
      <c r="L72" s="602"/>
      <c r="M72" s="602"/>
      <c r="N72" s="602"/>
      <c r="O72" s="602"/>
      <c r="P72" s="603"/>
    </row>
    <row r="73" spans="1:16" ht="26.25" customHeight="1" x14ac:dyDescent="0.25">
      <c r="A73" s="601"/>
      <c r="B73" s="602"/>
      <c r="C73" s="602"/>
      <c r="D73" s="602"/>
      <c r="E73" s="602"/>
      <c r="F73" s="602"/>
      <c r="G73" s="602"/>
      <c r="H73" s="602"/>
      <c r="I73" s="602"/>
      <c r="J73" s="602"/>
      <c r="K73" s="602"/>
      <c r="L73" s="602"/>
      <c r="M73" s="602"/>
      <c r="N73" s="602"/>
      <c r="O73" s="602"/>
      <c r="P73" s="603"/>
    </row>
    <row r="74" spans="1:16" ht="26.25" customHeight="1" x14ac:dyDescent="0.25">
      <c r="A74" s="601"/>
      <c r="B74" s="602"/>
      <c r="C74" s="602"/>
      <c r="D74" s="602"/>
      <c r="E74" s="602"/>
      <c r="F74" s="602"/>
      <c r="G74" s="602"/>
      <c r="H74" s="602"/>
      <c r="I74" s="602"/>
      <c r="J74" s="602"/>
      <c r="K74" s="602"/>
      <c r="L74" s="602"/>
      <c r="M74" s="602"/>
      <c r="N74" s="602"/>
      <c r="O74" s="602"/>
      <c r="P74" s="603"/>
    </row>
    <row r="75" spans="1:16" ht="26.25" customHeight="1" x14ac:dyDescent="0.25">
      <c r="A75" s="601"/>
      <c r="B75" s="602"/>
      <c r="C75" s="602"/>
      <c r="D75" s="602"/>
      <c r="E75" s="602"/>
      <c r="F75" s="602"/>
      <c r="G75" s="602"/>
      <c r="H75" s="602"/>
      <c r="I75" s="602"/>
      <c r="J75" s="602"/>
      <c r="K75" s="602"/>
      <c r="L75" s="602"/>
      <c r="M75" s="602"/>
      <c r="N75" s="602"/>
      <c r="O75" s="602"/>
      <c r="P75" s="603"/>
    </row>
    <row r="76" spans="1:16" ht="26.25" customHeight="1" x14ac:dyDescent="0.25">
      <c r="A76" s="601"/>
      <c r="B76" s="602"/>
      <c r="C76" s="602"/>
      <c r="D76" s="602"/>
      <c r="E76" s="602"/>
      <c r="F76" s="602"/>
      <c r="G76" s="602"/>
      <c r="H76" s="602"/>
      <c r="I76" s="602"/>
      <c r="J76" s="602"/>
      <c r="K76" s="602"/>
      <c r="L76" s="602"/>
      <c r="M76" s="602"/>
      <c r="N76" s="602"/>
      <c r="O76" s="602"/>
      <c r="P76" s="603"/>
    </row>
    <row r="77" spans="1:16" ht="1.5"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26.25" hidden="1" customHeight="1" x14ac:dyDescent="0.25">
      <c r="A84" s="601"/>
      <c r="B84" s="602"/>
      <c r="C84" s="602"/>
      <c r="D84" s="602"/>
      <c r="E84" s="602"/>
      <c r="F84" s="602"/>
      <c r="G84" s="602"/>
      <c r="H84" s="602"/>
      <c r="I84" s="602"/>
      <c r="J84" s="602"/>
      <c r="K84" s="602"/>
      <c r="L84" s="602"/>
      <c r="M84" s="602"/>
      <c r="N84" s="602"/>
      <c r="O84" s="602"/>
      <c r="P84" s="603"/>
    </row>
    <row r="85" spans="1:16" ht="26.25" hidden="1" customHeight="1" x14ac:dyDescent="0.25">
      <c r="A85" s="601"/>
      <c r="B85" s="602"/>
      <c r="C85" s="602"/>
      <c r="D85" s="602"/>
      <c r="E85" s="602"/>
      <c r="F85" s="602"/>
      <c r="G85" s="602"/>
      <c r="H85" s="602"/>
      <c r="I85" s="602"/>
      <c r="J85" s="602"/>
      <c r="K85" s="602"/>
      <c r="L85" s="602"/>
      <c r="M85" s="602"/>
      <c r="N85" s="602"/>
      <c r="O85" s="602"/>
      <c r="P85" s="603"/>
    </row>
    <row r="86" spans="1:16" ht="26.25" hidden="1" customHeight="1" x14ac:dyDescent="0.25">
      <c r="A86" s="601"/>
      <c r="B86" s="602"/>
      <c r="C86" s="602"/>
      <c r="D86" s="602"/>
      <c r="E86" s="602"/>
      <c r="F86" s="602"/>
      <c r="G86" s="602"/>
      <c r="H86" s="602"/>
      <c r="I86" s="602"/>
      <c r="J86" s="602"/>
      <c r="K86" s="602"/>
      <c r="L86" s="602"/>
      <c r="M86" s="602"/>
      <c r="N86" s="602"/>
      <c r="O86" s="602"/>
      <c r="P86" s="603"/>
    </row>
    <row r="87" spans="1:16" ht="26.25" hidden="1" customHeight="1" x14ac:dyDescent="0.25">
      <c r="A87" s="601"/>
      <c r="B87" s="602"/>
      <c r="C87" s="602"/>
      <c r="D87" s="602"/>
      <c r="E87" s="602"/>
      <c r="F87" s="602"/>
      <c r="G87" s="602"/>
      <c r="H87" s="602"/>
      <c r="I87" s="602"/>
      <c r="J87" s="602"/>
      <c r="K87" s="602"/>
      <c r="L87" s="602"/>
      <c r="M87" s="602"/>
      <c r="N87" s="602"/>
      <c r="O87" s="602"/>
      <c r="P87" s="603"/>
    </row>
    <row r="88" spans="1:16" ht="26.25" hidden="1" customHeight="1" x14ac:dyDescent="0.25">
      <c r="A88" s="601"/>
      <c r="B88" s="602"/>
      <c r="C88" s="602"/>
      <c r="D88" s="602"/>
      <c r="E88" s="602"/>
      <c r="F88" s="602"/>
      <c r="G88" s="602"/>
      <c r="H88" s="602"/>
      <c r="I88" s="602"/>
      <c r="J88" s="602"/>
      <c r="K88" s="602"/>
      <c r="L88" s="602"/>
      <c r="M88" s="602"/>
      <c r="N88" s="602"/>
      <c r="O88" s="602"/>
      <c r="P88" s="603"/>
    </row>
    <row r="89" spans="1:16" ht="26.25" hidden="1" customHeight="1" x14ac:dyDescent="0.25">
      <c r="A89" s="601"/>
      <c r="B89" s="602"/>
      <c r="C89" s="602"/>
      <c r="D89" s="602"/>
      <c r="E89" s="602"/>
      <c r="F89" s="602"/>
      <c r="G89" s="602"/>
      <c r="H89" s="602"/>
      <c r="I89" s="602"/>
      <c r="J89" s="602"/>
      <c r="K89" s="602"/>
      <c r="L89" s="602"/>
      <c r="M89" s="602"/>
      <c r="N89" s="602"/>
      <c r="O89" s="602"/>
      <c r="P89" s="603"/>
    </row>
    <row r="90" spans="1:16" ht="374.25" customHeight="1" thickBot="1" x14ac:dyDescent="0.3">
      <c r="A90" s="604"/>
      <c r="B90" s="605"/>
      <c r="C90" s="605"/>
      <c r="D90" s="605"/>
      <c r="E90" s="605"/>
      <c r="F90" s="605"/>
      <c r="G90" s="605"/>
      <c r="H90" s="605"/>
      <c r="I90" s="605"/>
      <c r="J90" s="605"/>
      <c r="K90" s="605"/>
      <c r="L90" s="605"/>
      <c r="M90" s="605"/>
      <c r="N90" s="605"/>
      <c r="O90" s="605"/>
      <c r="P90" s="606"/>
    </row>
  </sheetData>
  <sheetProtection formatCells="0" formatRows="0" insertRows="0" deleteRows="0"/>
  <mergeCells count="47">
    <mergeCell ref="A6:P6"/>
    <mergeCell ref="A7:P7"/>
    <mergeCell ref="A8:F8"/>
    <mergeCell ref="G8:P8"/>
    <mergeCell ref="A9:F9"/>
    <mergeCell ref="G9:P9"/>
    <mergeCell ref="A19:B19"/>
    <mergeCell ref="P11:P13"/>
    <mergeCell ref="C12:E12"/>
    <mergeCell ref="F12:F13"/>
    <mergeCell ref="G12:G13"/>
    <mergeCell ref="H12:J12"/>
    <mergeCell ref="K12:K13"/>
    <mergeCell ref="L12:L13"/>
    <mergeCell ref="N12:N13"/>
    <mergeCell ref="O12:O13"/>
    <mergeCell ref="A11:B13"/>
    <mergeCell ref="C11:F11"/>
    <mergeCell ref="G11:J11"/>
    <mergeCell ref="K11:L11"/>
    <mergeCell ref="M11:M13"/>
    <mergeCell ref="N11:O11"/>
    <mergeCell ref="Q14:W14"/>
    <mergeCell ref="A15:B15"/>
    <mergeCell ref="A16:B16"/>
    <mergeCell ref="A17:B17"/>
    <mergeCell ref="A18:B18"/>
    <mergeCell ref="A20:B20"/>
    <mergeCell ref="A21:B21"/>
    <mergeCell ref="A22:B22"/>
    <mergeCell ref="A29:B29"/>
    <mergeCell ref="A30:F30"/>
    <mergeCell ref="C39:F39"/>
    <mergeCell ref="A41:P41"/>
    <mergeCell ref="A42:P90"/>
    <mergeCell ref="A23:B23"/>
    <mergeCell ref="A24:B24"/>
    <mergeCell ref="A25:B25"/>
    <mergeCell ref="A26:B26"/>
    <mergeCell ref="A27:B27"/>
    <mergeCell ref="A28:B28"/>
    <mergeCell ref="A33:P33"/>
    <mergeCell ref="A34:P34"/>
    <mergeCell ref="A35:F35"/>
    <mergeCell ref="C36:F36"/>
    <mergeCell ref="C37:F37"/>
    <mergeCell ref="C38:F38"/>
  </mergeCells>
  <dataValidations count="2">
    <dataValidation type="list" allowBlank="1" showInputMessage="1" showErrorMessage="1" sqref="M15:M29">
      <formula1>$BA$13:$BA$16</formula1>
    </dataValidation>
    <dataValidation type="list" allowBlank="1" showInputMessage="1" showErrorMessage="1" sqref="BA13:BA15">
      <formula1>$BA$13:$BA$15</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[3]Resumo!#REF!</xm:f>
          </x14:formula1>
          <xm:sqref>E25</xm:sqref>
        </x14:dataValidation>
        <x14:dataValidation type="list" allowBlank="1" showInputMessage="1" showErrorMessage="1">
          <x14:formula1>
            <xm:f>'AÇÕES ESTRATÉGICAS - DESCRIÇÃO '!$C$2:$C$22</xm:f>
          </x14:formula1>
          <xm:sqref>E26:E29</xm:sqref>
        </x14:dataValidation>
        <x14:dataValidation type="list" allowBlank="1" showInputMessage="1" showErrorMessage="1">
          <x14:formula1>
            <xm:f>'[3]Ações Estratégicas - Descrição'!#REF!</xm:f>
          </x14:formula1>
          <xm:sqref>E15:E24</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BA84"/>
  <sheetViews>
    <sheetView showGridLines="0" topLeftCell="A15" zoomScale="40" zoomScaleNormal="40" zoomScaleSheetLayoutView="80" workbookViewId="0">
      <selection activeCell="A36" sqref="A36:P84"/>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13.7109375" style="1" bestFit="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tr">
        <f>Q8</f>
        <v>CSC -Fiscalização</v>
      </c>
      <c r="H8" s="570"/>
      <c r="I8" s="570"/>
      <c r="J8" s="570"/>
      <c r="K8" s="570"/>
      <c r="L8" s="570"/>
      <c r="M8" s="570"/>
      <c r="N8" s="570"/>
      <c r="O8" s="570"/>
      <c r="P8" s="571"/>
      <c r="Q8" s="311" t="str">
        <f>'Quadro Geral'!E33</f>
        <v>CSC -Fiscalização</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526</v>
      </c>
      <c r="H9" s="570"/>
      <c r="I9" s="570"/>
      <c r="J9" s="570"/>
      <c r="K9" s="570"/>
      <c r="L9" s="570"/>
      <c r="M9" s="570"/>
      <c r="N9" s="570"/>
      <c r="O9" s="570"/>
      <c r="P9" s="571"/>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198" t="s">
        <v>289</v>
      </c>
      <c r="D13" s="199" t="s">
        <v>288</v>
      </c>
      <c r="E13" s="130" t="s">
        <v>217</v>
      </c>
      <c r="F13" s="582"/>
      <c r="G13" s="582"/>
      <c r="H13" s="198" t="s">
        <v>373</v>
      </c>
      <c r="I13" s="198" t="s">
        <v>374</v>
      </c>
      <c r="J13" s="198"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105" x14ac:dyDescent="0.5">
      <c r="A15" s="590" t="s">
        <v>514</v>
      </c>
      <c r="B15" s="591"/>
      <c r="C15" s="61" t="s">
        <v>681</v>
      </c>
      <c r="D15" s="61" t="s">
        <v>680</v>
      </c>
      <c r="E15" s="61" t="s">
        <v>682</v>
      </c>
      <c r="F15" s="61" t="s">
        <v>683</v>
      </c>
      <c r="G15" s="210">
        <v>179668.62</v>
      </c>
      <c r="H15" s="231">
        <v>62884.04</v>
      </c>
      <c r="I15" s="231">
        <v>17966.900000000001</v>
      </c>
      <c r="J15" s="231">
        <f>H15+I15</f>
        <v>80850.94</v>
      </c>
      <c r="K15" s="151">
        <f>J15-G15</f>
        <v>-98817.68</v>
      </c>
      <c r="L15" s="152">
        <f>IFERROR(K15/G15*100,0)</f>
        <v>-54.999966048606595</v>
      </c>
      <c r="M15" s="152" t="s">
        <v>371</v>
      </c>
      <c r="N15" s="153"/>
      <c r="O15" s="154">
        <f>IFERROR(N15/J15*100,)</f>
        <v>0</v>
      </c>
      <c r="P15" s="155" t="s">
        <v>583</v>
      </c>
      <c r="Z15" s="3"/>
      <c r="AA15" s="118"/>
      <c r="AB15" s="116"/>
      <c r="AC15" s="116"/>
      <c r="AD15" s="116"/>
      <c r="AE15" s="116"/>
      <c r="AF15" s="116"/>
      <c r="AG15" s="3"/>
      <c r="AH15" s="3"/>
      <c r="AI15" s="3"/>
      <c r="AJ15" s="3"/>
      <c r="AZ15" s="188"/>
      <c r="BA15" s="188" t="s">
        <v>213</v>
      </c>
    </row>
    <row r="16" spans="1:53" ht="33.75" hidden="1" x14ac:dyDescent="0.5">
      <c r="A16" s="590"/>
      <c r="B16" s="591"/>
      <c r="C16" s="200"/>
      <c r="D16" s="201"/>
      <c r="E16" s="61"/>
      <c r="F16" s="61"/>
      <c r="G16" s="150"/>
      <c r="H16" s="150"/>
      <c r="I16" s="150"/>
      <c r="J16" s="150">
        <f t="shared" ref="J16:J23" si="1">H16+I16</f>
        <v>0</v>
      </c>
      <c r="K16" s="151">
        <f t="shared" ref="K16:K22" si="2">J16-G16</f>
        <v>0</v>
      </c>
      <c r="L16" s="152">
        <f t="shared" ref="L16:L24" si="3">IFERROR(K16/G16*100,0)</f>
        <v>0</v>
      </c>
      <c r="M16" s="152" t="s">
        <v>371</v>
      </c>
      <c r="N16" s="153"/>
      <c r="O16" s="154">
        <f t="shared" ref="O16:O24" si="4">IFERROR(N16/J16*100,)</f>
        <v>0</v>
      </c>
      <c r="P16" s="155" t="s">
        <v>583</v>
      </c>
      <c r="Z16" s="3"/>
      <c r="AA16" s="118"/>
      <c r="AB16" s="116"/>
      <c r="AC16" s="116"/>
      <c r="AD16" s="116"/>
      <c r="AE16" s="116"/>
      <c r="AF16" s="116"/>
      <c r="AG16" s="3"/>
      <c r="AH16" s="3"/>
      <c r="AI16" s="3"/>
      <c r="AJ16" s="3"/>
      <c r="AZ16" s="188"/>
      <c r="BA16" s="188" t="s">
        <v>371</v>
      </c>
    </row>
    <row r="17" spans="1:36" ht="28.5" hidden="1" x14ac:dyDescent="0.4">
      <c r="A17" s="590"/>
      <c r="B17" s="591"/>
      <c r="C17" s="200"/>
      <c r="D17" s="61"/>
      <c r="E17" s="61"/>
      <c r="F17" s="61"/>
      <c r="G17" s="150"/>
      <c r="H17" s="150"/>
      <c r="I17" s="150"/>
      <c r="J17" s="150">
        <f t="shared" si="1"/>
        <v>0</v>
      </c>
      <c r="K17" s="151">
        <f t="shared" si="2"/>
        <v>0</v>
      </c>
      <c r="L17" s="152">
        <f t="shared" si="3"/>
        <v>0</v>
      </c>
      <c r="M17" s="152" t="s">
        <v>371</v>
      </c>
      <c r="N17" s="153"/>
      <c r="O17" s="154">
        <f t="shared" si="4"/>
        <v>0</v>
      </c>
      <c r="P17" s="155"/>
      <c r="Z17" s="3"/>
      <c r="AA17" s="118"/>
      <c r="AB17" s="116"/>
      <c r="AC17" s="116"/>
      <c r="AD17" s="116"/>
      <c r="AE17" s="116"/>
      <c r="AF17" s="116"/>
      <c r="AG17" s="3"/>
      <c r="AH17" s="3"/>
      <c r="AI17" s="3"/>
      <c r="AJ17" s="3"/>
    </row>
    <row r="18" spans="1:36" ht="28.5" hidden="1" x14ac:dyDescent="0.4">
      <c r="A18" s="590"/>
      <c r="B18" s="591"/>
      <c r="C18" s="200"/>
      <c r="D18" s="61"/>
      <c r="E18" s="61"/>
      <c r="F18" s="61"/>
      <c r="G18" s="202"/>
      <c r="H18" s="150"/>
      <c r="I18" s="150"/>
      <c r="J18" s="150">
        <f t="shared" si="1"/>
        <v>0</v>
      </c>
      <c r="K18" s="151">
        <f t="shared" si="2"/>
        <v>0</v>
      </c>
      <c r="L18" s="152">
        <f t="shared" si="3"/>
        <v>0</v>
      </c>
      <c r="M18" s="152"/>
      <c r="N18" s="153"/>
      <c r="O18" s="154">
        <f t="shared" si="4"/>
        <v>0</v>
      </c>
      <c r="P18" s="155"/>
      <c r="Z18" s="3"/>
      <c r="AA18" s="118"/>
      <c r="AB18" s="116"/>
      <c r="AC18" s="116"/>
      <c r="AD18" s="116"/>
      <c r="AE18" s="116"/>
      <c r="AF18" s="116"/>
      <c r="AG18" s="3"/>
      <c r="AH18" s="3"/>
      <c r="AI18" s="3"/>
      <c r="AJ18" s="3"/>
    </row>
    <row r="19" spans="1:36" ht="28.5" hidden="1" x14ac:dyDescent="0.25">
      <c r="A19" s="590"/>
      <c r="B19" s="591"/>
      <c r="C19" s="200"/>
      <c r="D19" s="61"/>
      <c r="E19" s="61"/>
      <c r="F19" s="61"/>
      <c r="G19" s="203"/>
      <c r="H19" s="150"/>
      <c r="I19" s="150"/>
      <c r="J19" s="150">
        <f t="shared" si="1"/>
        <v>0</v>
      </c>
      <c r="K19" s="151">
        <f t="shared" si="2"/>
        <v>0</v>
      </c>
      <c r="L19" s="152">
        <f t="shared" si="3"/>
        <v>0</v>
      </c>
      <c r="M19" s="152"/>
      <c r="N19" s="153"/>
      <c r="O19" s="154">
        <f t="shared" si="4"/>
        <v>0</v>
      </c>
      <c r="P19" s="155"/>
      <c r="Z19" s="3"/>
      <c r="AA19" s="3"/>
      <c r="AB19" s="3"/>
      <c r="AC19" s="3"/>
      <c r="AD19" s="3"/>
      <c r="AE19" s="3"/>
      <c r="AF19" s="3"/>
      <c r="AG19" s="3"/>
      <c r="AH19" s="3"/>
      <c r="AI19" s="3"/>
      <c r="AJ19" s="3"/>
    </row>
    <row r="20" spans="1:36" ht="55.5" hidden="1" customHeight="1" x14ac:dyDescent="0.25">
      <c r="A20" s="590"/>
      <c r="B20" s="591"/>
      <c r="C20" s="61"/>
      <c r="D20" s="61"/>
      <c r="E20" s="61"/>
      <c r="F20" s="61"/>
      <c r="G20" s="150"/>
      <c r="H20" s="150"/>
      <c r="I20" s="150"/>
      <c r="J20" s="150">
        <f t="shared" si="1"/>
        <v>0</v>
      </c>
      <c r="K20" s="151">
        <f t="shared" si="2"/>
        <v>0</v>
      </c>
      <c r="L20" s="152">
        <f t="shared" si="3"/>
        <v>0</v>
      </c>
      <c r="M20" s="152"/>
      <c r="N20" s="153"/>
      <c r="O20" s="154">
        <f t="shared" si="4"/>
        <v>0</v>
      </c>
      <c r="P20" s="155"/>
      <c r="Z20" s="3"/>
      <c r="AA20" s="3"/>
      <c r="AB20" s="3"/>
      <c r="AC20" s="3"/>
      <c r="AD20" s="3"/>
      <c r="AE20" s="3"/>
      <c r="AF20" s="3"/>
      <c r="AG20" s="3"/>
      <c r="AH20" s="3"/>
      <c r="AI20" s="3"/>
      <c r="AJ20" s="3"/>
    </row>
    <row r="21" spans="1:36" ht="55.5" hidden="1" customHeight="1" x14ac:dyDescent="0.25">
      <c r="A21" s="590"/>
      <c r="B21" s="591"/>
      <c r="C21" s="61"/>
      <c r="D21" s="61"/>
      <c r="E21" s="61"/>
      <c r="F21" s="61"/>
      <c r="G21" s="150"/>
      <c r="H21" s="150"/>
      <c r="I21" s="150"/>
      <c r="J21" s="150">
        <f t="shared" si="1"/>
        <v>0</v>
      </c>
      <c r="K21" s="151">
        <f t="shared" si="2"/>
        <v>0</v>
      </c>
      <c r="L21" s="152">
        <f t="shared" si="3"/>
        <v>0</v>
      </c>
      <c r="M21" s="152"/>
      <c r="N21" s="153"/>
      <c r="O21" s="154">
        <f t="shared" si="4"/>
        <v>0</v>
      </c>
      <c r="P21" s="155"/>
      <c r="AA21" s="178"/>
    </row>
    <row r="22" spans="1:36" ht="55.5" hidden="1" customHeight="1" x14ac:dyDescent="0.25">
      <c r="A22" s="590"/>
      <c r="B22" s="591"/>
      <c r="C22" s="61"/>
      <c r="D22" s="61"/>
      <c r="E22" s="61"/>
      <c r="F22" s="61"/>
      <c r="G22" s="150"/>
      <c r="H22" s="150"/>
      <c r="I22" s="150"/>
      <c r="J22" s="150">
        <f t="shared" si="1"/>
        <v>0</v>
      </c>
      <c r="K22" s="151">
        <f t="shared" si="2"/>
        <v>0</v>
      </c>
      <c r="L22" s="152">
        <f t="shared" si="3"/>
        <v>0</v>
      </c>
      <c r="M22" s="152"/>
      <c r="N22" s="153"/>
      <c r="O22" s="154">
        <f t="shared" si="4"/>
        <v>0</v>
      </c>
      <c r="P22" s="155"/>
    </row>
    <row r="23" spans="1:36" ht="55.5" hidden="1" customHeight="1" x14ac:dyDescent="0.25">
      <c r="A23" s="590"/>
      <c r="B23" s="591"/>
      <c r="C23" s="61"/>
      <c r="D23" s="61"/>
      <c r="E23" s="61"/>
      <c r="F23" s="61"/>
      <c r="G23" s="150"/>
      <c r="H23" s="150"/>
      <c r="I23" s="150"/>
      <c r="J23" s="150">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234">
        <f>SUM(G14:G23)</f>
        <v>179668.62</v>
      </c>
      <c r="H24" s="234">
        <f>SUM(H14:H23)</f>
        <v>62884.04</v>
      </c>
      <c r="I24" s="234">
        <f>SUM(I14:I23)</f>
        <v>17966.900000000001</v>
      </c>
      <c r="J24" s="234">
        <f>SUM(J14:J23)</f>
        <v>80850.94</v>
      </c>
      <c r="K24" s="156">
        <f>J24-G24</f>
        <v>-98817.68</v>
      </c>
      <c r="L24" s="156">
        <f t="shared" si="3"/>
        <v>-54.999966048606595</v>
      </c>
      <c r="M24" s="156"/>
      <c r="N24" s="157">
        <f>SUM(N14:N23)</f>
        <v>0</v>
      </c>
      <c r="O24" s="156">
        <f t="shared" si="4"/>
        <v>0</v>
      </c>
      <c r="P24" s="158"/>
    </row>
    <row r="25" spans="1:36" ht="19.5" x14ac:dyDescent="0.3">
      <c r="A25" s="1"/>
      <c r="B25" s="1"/>
      <c r="C25" s="1"/>
      <c r="D25" s="1"/>
      <c r="E25" s="1"/>
      <c r="F25" s="1"/>
      <c r="G25" s="235">
        <f>'Quadro Geral'!J33</f>
        <v>179668.62</v>
      </c>
      <c r="H25" s="316">
        <f>'Quadro Geral'!K33</f>
        <v>62884.04</v>
      </c>
      <c r="I25" s="316">
        <f>'Quadro Geral'!L33</f>
        <v>17966.900000000001</v>
      </c>
      <c r="J25" s="316">
        <f>'Quadro Geral'!M33</f>
        <v>80850.94</v>
      </c>
      <c r="K25" s="1"/>
      <c r="L25" s="1"/>
      <c r="M25" s="1"/>
      <c r="N25" s="1"/>
      <c r="O25" s="1"/>
      <c r="P25" s="1"/>
    </row>
    <row r="26" spans="1:36" x14ac:dyDescent="0.4">
      <c r="A26" s="306" t="s">
        <v>296</v>
      </c>
      <c r="B26" s="306"/>
      <c r="C26" s="306"/>
      <c r="D26" s="306"/>
      <c r="E26" s="306"/>
      <c r="F26" s="306"/>
      <c r="G26" s="306" t="b">
        <f>G24=G25</f>
        <v>1</v>
      </c>
      <c r="H26" s="306" t="b">
        <f t="shared" ref="H26:J26" si="5">H24=H25</f>
        <v>1</v>
      </c>
      <c r="I26" s="306" t="b">
        <f t="shared" si="5"/>
        <v>1</v>
      </c>
      <c r="J26" s="306" t="b">
        <f t="shared" si="5"/>
        <v>1</v>
      </c>
      <c r="K26" s="306"/>
      <c r="L26" s="306"/>
      <c r="M26" s="306"/>
      <c r="N26" s="306"/>
      <c r="O26" s="306"/>
      <c r="P26" s="306"/>
    </row>
    <row r="27" spans="1:36" ht="36" customHeight="1" x14ac:dyDescent="0.25">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t="15" hidden="1" x14ac:dyDescent="0.25">
      <c r="A36" s="598" t="s">
        <v>387</v>
      </c>
      <c r="B36" s="599"/>
      <c r="C36" s="599"/>
      <c r="D36" s="599"/>
      <c r="E36" s="599"/>
      <c r="F36" s="599"/>
      <c r="G36" s="599"/>
      <c r="H36" s="599"/>
      <c r="I36" s="599"/>
      <c r="J36" s="599"/>
      <c r="K36" s="599"/>
      <c r="L36" s="599"/>
      <c r="M36" s="599"/>
      <c r="N36" s="599"/>
      <c r="O36" s="599"/>
      <c r="P36" s="600"/>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1.5"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374.25" customHeight="1" thickBot="1" x14ac:dyDescent="0.3">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1">
    <mergeCell ref="A6:P6"/>
    <mergeCell ref="A7:P7"/>
    <mergeCell ref="A8:F8"/>
    <mergeCell ref="G8:P8"/>
    <mergeCell ref="A9:F9"/>
    <mergeCell ref="G9:P9"/>
    <mergeCell ref="A24:F24"/>
    <mergeCell ref="P11:P13"/>
    <mergeCell ref="C12:E12"/>
    <mergeCell ref="F12:F13"/>
    <mergeCell ref="G12:G13"/>
    <mergeCell ref="H12:J12"/>
    <mergeCell ref="K12:K13"/>
    <mergeCell ref="L12:L13"/>
    <mergeCell ref="N12:N13"/>
    <mergeCell ref="O12:O13"/>
    <mergeCell ref="N11:O11"/>
    <mergeCell ref="A11:B13"/>
    <mergeCell ref="C11:F11"/>
    <mergeCell ref="G11:J11"/>
    <mergeCell ref="K11:L11"/>
    <mergeCell ref="M11:M13"/>
    <mergeCell ref="A19:B19"/>
    <mergeCell ref="A20:B20"/>
    <mergeCell ref="A21:B21"/>
    <mergeCell ref="A22:B22"/>
    <mergeCell ref="A23:B23"/>
    <mergeCell ref="Q14:W14"/>
    <mergeCell ref="A15:B15"/>
    <mergeCell ref="A16:B16"/>
    <mergeCell ref="A17:B17"/>
    <mergeCell ref="A18:B18"/>
    <mergeCell ref="C33:F33"/>
    <mergeCell ref="A35:P35"/>
    <mergeCell ref="A36:P84"/>
    <mergeCell ref="A27:P27"/>
    <mergeCell ref="A28:P28"/>
    <mergeCell ref="A29:F29"/>
    <mergeCell ref="C30:F30"/>
    <mergeCell ref="C31:F31"/>
    <mergeCell ref="C32:F32"/>
  </mergeCells>
  <dataValidations count="2">
    <dataValidation type="list" allowBlank="1" showInputMessage="1" showErrorMessage="1" sqref="M15:M23">
      <formula1>$BA$13:$BA$16</formula1>
    </dataValidation>
    <dataValidation type="list" allowBlank="1" showInputMessage="1" showErrorMessage="1" sqref="BA13:BA15">
      <formula1>$BA$13:$BA$15</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[3]Resumo!#REF!</xm:f>
          </x14:formula1>
          <xm:sqref>E16:E19</xm:sqref>
        </x14:dataValidation>
        <x14:dataValidation type="list" allowBlank="1" showInputMessage="1" showErrorMessage="1">
          <x14:formula1>
            <xm:f>'AÇÕES ESTRATÉGICAS - DESCRIÇÃO '!$C$2:$C$22</xm:f>
          </x14:formula1>
          <xm:sqref>E20:E23</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BA84"/>
  <sheetViews>
    <sheetView showGridLines="0" topLeftCell="E24" zoomScale="40" zoomScaleNormal="40" zoomScaleSheetLayoutView="80" workbookViewId="0">
      <selection activeCell="A36" sqref="A36:P84"/>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9.140625" style="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614" t="str">
        <f>'Quadro Geral'!E34</f>
        <v>CSC- Atendimento</v>
      </c>
      <c r="H8" s="614"/>
      <c r="I8" s="614"/>
      <c r="J8" s="614"/>
      <c r="K8" s="614"/>
      <c r="L8" s="614"/>
      <c r="M8" s="614"/>
      <c r="N8" s="614"/>
      <c r="O8" s="614"/>
      <c r="P8" s="615"/>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614" t="s">
        <v>526</v>
      </c>
      <c r="H9" s="614"/>
      <c r="I9" s="614"/>
      <c r="J9" s="614"/>
      <c r="K9" s="614"/>
      <c r="L9" s="614"/>
      <c r="M9" s="614"/>
      <c r="N9" s="614"/>
      <c r="O9" s="614"/>
      <c r="P9" s="615"/>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198" t="s">
        <v>289</v>
      </c>
      <c r="D13" s="199" t="s">
        <v>288</v>
      </c>
      <c r="E13" s="130" t="s">
        <v>217</v>
      </c>
      <c r="F13" s="582"/>
      <c r="G13" s="582"/>
      <c r="H13" s="198" t="s">
        <v>373</v>
      </c>
      <c r="I13" s="198" t="s">
        <v>374</v>
      </c>
      <c r="J13" s="198"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105" x14ac:dyDescent="0.5">
      <c r="A15" s="590" t="s">
        <v>514</v>
      </c>
      <c r="B15" s="591"/>
      <c r="C15" s="61" t="s">
        <v>681</v>
      </c>
      <c r="D15" s="61" t="s">
        <v>466</v>
      </c>
      <c r="E15" s="61" t="s">
        <v>682</v>
      </c>
      <c r="F15" s="61" t="s">
        <v>684</v>
      </c>
      <c r="G15" s="210">
        <v>35503.379999999997</v>
      </c>
      <c r="H15" s="231">
        <v>12426.2</v>
      </c>
      <c r="I15" s="231">
        <v>3550.34</v>
      </c>
      <c r="J15" s="231">
        <f>H15+I15</f>
        <v>15976.54</v>
      </c>
      <c r="K15" s="151">
        <f>J15-G15</f>
        <v>-19526.839999999997</v>
      </c>
      <c r="L15" s="152">
        <f>IFERROR(K15/G15*100,0)</f>
        <v>-54.999946483968564</v>
      </c>
      <c r="M15" s="152" t="s">
        <v>371</v>
      </c>
      <c r="N15" s="153"/>
      <c r="O15" s="154">
        <f>IFERROR(N15/J15*100,)</f>
        <v>0</v>
      </c>
      <c r="P15" s="155" t="s">
        <v>583</v>
      </c>
      <c r="Z15" s="3"/>
      <c r="AA15" s="118"/>
      <c r="AB15" s="116"/>
      <c r="AC15" s="116"/>
      <c r="AD15" s="116"/>
      <c r="AE15" s="116"/>
      <c r="AF15" s="116"/>
      <c r="AG15" s="3"/>
      <c r="AH15" s="3"/>
      <c r="AI15" s="3"/>
      <c r="AJ15" s="3"/>
      <c r="AZ15" s="188"/>
      <c r="BA15" s="188" t="s">
        <v>213</v>
      </c>
    </row>
    <row r="16" spans="1:53" ht="33.75" hidden="1" x14ac:dyDescent="0.5">
      <c r="A16" s="590"/>
      <c r="B16" s="591"/>
      <c r="C16" s="200"/>
      <c r="D16" s="201"/>
      <c r="E16" s="61"/>
      <c r="F16" s="61"/>
      <c r="G16" s="231"/>
      <c r="H16" s="231"/>
      <c r="I16" s="231"/>
      <c r="J16" s="231">
        <f t="shared" ref="J16:J23" si="1">H16+I16</f>
        <v>0</v>
      </c>
      <c r="K16" s="151">
        <f t="shared" ref="K16:K22" si="2">J16-G16</f>
        <v>0</v>
      </c>
      <c r="L16" s="152">
        <f t="shared" ref="L16:L24" si="3">IFERROR(K16/G16*100,0)</f>
        <v>0</v>
      </c>
      <c r="M16" s="152" t="s">
        <v>371</v>
      </c>
      <c r="N16" s="153"/>
      <c r="O16" s="154">
        <f t="shared" ref="O16:O24" si="4">IFERROR(N16/J16*100,)</f>
        <v>0</v>
      </c>
      <c r="P16" s="155" t="s">
        <v>381</v>
      </c>
      <c r="Z16" s="3"/>
      <c r="AA16" s="118"/>
      <c r="AB16" s="116"/>
      <c r="AC16" s="116"/>
      <c r="AD16" s="116"/>
      <c r="AE16" s="116"/>
      <c r="AF16" s="116"/>
      <c r="AG16" s="3"/>
      <c r="AH16" s="3"/>
      <c r="AI16" s="3"/>
      <c r="AJ16" s="3"/>
      <c r="AZ16" s="188"/>
      <c r="BA16" s="188" t="s">
        <v>371</v>
      </c>
    </row>
    <row r="17" spans="1:36" ht="28.5" hidden="1" x14ac:dyDescent="0.4">
      <c r="A17" s="590"/>
      <c r="B17" s="591"/>
      <c r="C17" s="200"/>
      <c r="D17" s="61"/>
      <c r="E17" s="61"/>
      <c r="F17" s="61"/>
      <c r="G17" s="231"/>
      <c r="H17" s="231"/>
      <c r="I17" s="231"/>
      <c r="J17" s="231">
        <f t="shared" si="1"/>
        <v>0</v>
      </c>
      <c r="K17" s="151">
        <f t="shared" si="2"/>
        <v>0</v>
      </c>
      <c r="L17" s="152">
        <f t="shared" si="3"/>
        <v>0</v>
      </c>
      <c r="M17" s="152" t="s">
        <v>371</v>
      </c>
      <c r="N17" s="153"/>
      <c r="O17" s="154">
        <f t="shared" si="4"/>
        <v>0</v>
      </c>
      <c r="P17" s="155"/>
      <c r="Z17" s="3"/>
      <c r="AA17" s="118"/>
      <c r="AB17" s="116"/>
      <c r="AC17" s="116"/>
      <c r="AD17" s="116"/>
      <c r="AE17" s="116"/>
      <c r="AF17" s="116"/>
      <c r="AG17" s="3"/>
      <c r="AH17" s="3"/>
      <c r="AI17" s="3"/>
      <c r="AJ17" s="3"/>
    </row>
    <row r="18" spans="1:36" ht="28.5" hidden="1" x14ac:dyDescent="0.4">
      <c r="A18" s="590"/>
      <c r="B18" s="591"/>
      <c r="C18" s="200"/>
      <c r="D18" s="61"/>
      <c r="E18" s="61"/>
      <c r="F18" s="61"/>
      <c r="G18" s="232"/>
      <c r="H18" s="231"/>
      <c r="I18" s="231"/>
      <c r="J18" s="231">
        <f t="shared" si="1"/>
        <v>0</v>
      </c>
      <c r="K18" s="151">
        <f t="shared" si="2"/>
        <v>0</v>
      </c>
      <c r="L18" s="152">
        <f t="shared" si="3"/>
        <v>0</v>
      </c>
      <c r="M18" s="152"/>
      <c r="N18" s="153"/>
      <c r="O18" s="154">
        <f t="shared" si="4"/>
        <v>0</v>
      </c>
      <c r="P18" s="155"/>
      <c r="Z18" s="3"/>
      <c r="AA18" s="118"/>
      <c r="AB18" s="116"/>
      <c r="AC18" s="116"/>
      <c r="AD18" s="116"/>
      <c r="AE18" s="116"/>
      <c r="AF18" s="116"/>
      <c r="AG18" s="3"/>
      <c r="AH18" s="3"/>
      <c r="AI18" s="3"/>
      <c r="AJ18" s="3"/>
    </row>
    <row r="19" spans="1:36" ht="28.5" hidden="1" x14ac:dyDescent="0.25">
      <c r="A19" s="590"/>
      <c r="B19" s="591"/>
      <c r="C19" s="200"/>
      <c r="D19" s="61"/>
      <c r="E19" s="61"/>
      <c r="F19" s="61"/>
      <c r="G19" s="233"/>
      <c r="H19" s="231"/>
      <c r="I19" s="231"/>
      <c r="J19" s="231">
        <f t="shared" si="1"/>
        <v>0</v>
      </c>
      <c r="K19" s="151">
        <f t="shared" si="2"/>
        <v>0</v>
      </c>
      <c r="L19" s="152">
        <f t="shared" si="3"/>
        <v>0</v>
      </c>
      <c r="M19" s="152"/>
      <c r="N19" s="153"/>
      <c r="O19" s="154">
        <f t="shared" si="4"/>
        <v>0</v>
      </c>
      <c r="P19" s="155"/>
      <c r="Z19" s="3"/>
      <c r="AA19" s="3"/>
      <c r="AB19" s="3"/>
      <c r="AC19" s="3"/>
      <c r="AD19" s="3"/>
      <c r="AE19" s="3"/>
      <c r="AF19" s="3"/>
      <c r="AG19" s="3"/>
      <c r="AH19" s="3"/>
      <c r="AI19" s="3"/>
      <c r="AJ19" s="3"/>
    </row>
    <row r="20" spans="1:36" ht="55.5" hidden="1" customHeight="1" x14ac:dyDescent="0.25">
      <c r="A20" s="590"/>
      <c r="B20" s="591"/>
      <c r="C20" s="61"/>
      <c r="D20" s="61"/>
      <c r="E20" s="61"/>
      <c r="F20" s="61"/>
      <c r="G20" s="231"/>
      <c r="H20" s="231"/>
      <c r="I20" s="231"/>
      <c r="J20" s="231">
        <f t="shared" si="1"/>
        <v>0</v>
      </c>
      <c r="K20" s="151">
        <f t="shared" si="2"/>
        <v>0</v>
      </c>
      <c r="L20" s="152">
        <f t="shared" si="3"/>
        <v>0</v>
      </c>
      <c r="M20" s="152"/>
      <c r="N20" s="153"/>
      <c r="O20" s="154">
        <f t="shared" si="4"/>
        <v>0</v>
      </c>
      <c r="P20" s="155"/>
      <c r="Z20" s="3"/>
      <c r="AA20" s="3"/>
      <c r="AB20" s="3"/>
      <c r="AC20" s="3"/>
      <c r="AD20" s="3"/>
      <c r="AE20" s="3"/>
      <c r="AF20" s="3"/>
      <c r="AG20" s="3"/>
      <c r="AH20" s="3"/>
      <c r="AI20" s="3"/>
      <c r="AJ20" s="3"/>
    </row>
    <row r="21" spans="1:36" ht="55.5" hidden="1" customHeight="1" x14ac:dyDescent="0.25">
      <c r="A21" s="590"/>
      <c r="B21" s="591"/>
      <c r="C21" s="61"/>
      <c r="D21" s="61"/>
      <c r="E21" s="61"/>
      <c r="F21" s="61"/>
      <c r="G21" s="231"/>
      <c r="H21" s="231"/>
      <c r="I21" s="231"/>
      <c r="J21" s="231">
        <f t="shared" si="1"/>
        <v>0</v>
      </c>
      <c r="K21" s="151">
        <f t="shared" si="2"/>
        <v>0</v>
      </c>
      <c r="L21" s="152">
        <f t="shared" si="3"/>
        <v>0</v>
      </c>
      <c r="M21" s="152"/>
      <c r="N21" s="153"/>
      <c r="O21" s="154">
        <f t="shared" si="4"/>
        <v>0</v>
      </c>
      <c r="P21" s="155"/>
      <c r="AA21" s="178"/>
    </row>
    <row r="22" spans="1:36" ht="55.5" hidden="1" customHeight="1" x14ac:dyDescent="0.25">
      <c r="A22" s="590"/>
      <c r="B22" s="591"/>
      <c r="C22" s="61"/>
      <c r="D22" s="61"/>
      <c r="E22" s="61"/>
      <c r="F22" s="61"/>
      <c r="G22" s="231"/>
      <c r="H22" s="231"/>
      <c r="I22" s="231"/>
      <c r="J22" s="231">
        <f t="shared" si="1"/>
        <v>0</v>
      </c>
      <c r="K22" s="151">
        <f t="shared" si="2"/>
        <v>0</v>
      </c>
      <c r="L22" s="152">
        <f t="shared" si="3"/>
        <v>0</v>
      </c>
      <c r="M22" s="152"/>
      <c r="N22" s="153"/>
      <c r="O22" s="154">
        <f t="shared" si="4"/>
        <v>0</v>
      </c>
      <c r="P22" s="155"/>
    </row>
    <row r="23" spans="1:36" ht="55.5" hidden="1" customHeight="1" x14ac:dyDescent="0.25">
      <c r="A23" s="590"/>
      <c r="B23" s="591"/>
      <c r="C23" s="61"/>
      <c r="D23" s="61"/>
      <c r="E23" s="61"/>
      <c r="F23" s="61"/>
      <c r="G23" s="231"/>
      <c r="H23" s="231"/>
      <c r="I23" s="231"/>
      <c r="J23" s="231">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234">
        <f>SUM(G14:G23)</f>
        <v>35503.379999999997</v>
      </c>
      <c r="H24" s="234">
        <f>SUM(H14:H23)</f>
        <v>12426.2</v>
      </c>
      <c r="I24" s="234">
        <f>SUM(I14:I23)</f>
        <v>3550.34</v>
      </c>
      <c r="J24" s="234">
        <f>SUM(J14:J23)</f>
        <v>15976.54</v>
      </c>
      <c r="K24" s="156">
        <f>J24-G24</f>
        <v>-19526.839999999997</v>
      </c>
      <c r="L24" s="156">
        <f t="shared" si="3"/>
        <v>-54.999946483968564</v>
      </c>
      <c r="M24" s="156"/>
      <c r="N24" s="157">
        <f>SUM(N14:N23)</f>
        <v>0</v>
      </c>
      <c r="O24" s="156">
        <f t="shared" si="4"/>
        <v>0</v>
      </c>
      <c r="P24" s="158"/>
    </row>
    <row r="25" spans="1:36" ht="19.5" x14ac:dyDescent="0.3">
      <c r="A25" s="1"/>
      <c r="B25" s="1"/>
      <c r="C25" s="1"/>
      <c r="D25" s="1"/>
      <c r="E25" s="1"/>
      <c r="F25" s="1"/>
      <c r="G25" s="235">
        <f>'Quadro Geral'!J34</f>
        <v>35503.379999999997</v>
      </c>
      <c r="H25" s="235">
        <f>'Quadro Geral'!K34</f>
        <v>12426.2</v>
      </c>
      <c r="I25" s="316">
        <f>'Quadro Geral'!L34</f>
        <v>3550.34</v>
      </c>
      <c r="J25" s="316">
        <f>'Quadro Geral'!M34</f>
        <v>15976.54</v>
      </c>
      <c r="K25" s="1"/>
      <c r="L25" s="1"/>
      <c r="M25" s="1"/>
      <c r="N25" s="1"/>
      <c r="O25" s="1"/>
      <c r="P25" s="1"/>
    </row>
    <row r="26" spans="1:36" x14ac:dyDescent="0.4">
      <c r="A26" s="306" t="s">
        <v>296</v>
      </c>
      <c r="B26" s="306"/>
      <c r="C26" s="306"/>
      <c r="D26" s="306"/>
      <c r="E26" s="306"/>
      <c r="F26" s="306"/>
      <c r="G26" s="306" t="b">
        <f>G24=G25</f>
        <v>1</v>
      </c>
      <c r="H26" s="306" t="b">
        <f t="shared" ref="H26:J26" si="5">H24=H25</f>
        <v>1</v>
      </c>
      <c r="I26" s="306" t="b">
        <f t="shared" si="5"/>
        <v>1</v>
      </c>
      <c r="J26" s="306" t="b">
        <f t="shared" si="5"/>
        <v>1</v>
      </c>
      <c r="K26" s="306"/>
      <c r="L26" s="306"/>
      <c r="M26" s="306"/>
      <c r="N26" s="306"/>
      <c r="O26" s="306"/>
      <c r="P26" s="306"/>
    </row>
    <row r="27" spans="1:36" ht="36" customHeight="1" x14ac:dyDescent="0.25">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t="15" hidden="1" x14ac:dyDescent="0.25">
      <c r="A36" s="598" t="s">
        <v>387</v>
      </c>
      <c r="B36" s="599"/>
      <c r="C36" s="599"/>
      <c r="D36" s="599"/>
      <c r="E36" s="599"/>
      <c r="F36" s="599"/>
      <c r="G36" s="599"/>
      <c r="H36" s="599"/>
      <c r="I36" s="599"/>
      <c r="J36" s="599"/>
      <c r="K36" s="599"/>
      <c r="L36" s="599"/>
      <c r="M36" s="599"/>
      <c r="N36" s="599"/>
      <c r="O36" s="599"/>
      <c r="P36" s="600"/>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1.5"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374.25" customHeight="1" thickBot="1" x14ac:dyDescent="0.3">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1">
    <mergeCell ref="A6:P6"/>
    <mergeCell ref="A7:P7"/>
    <mergeCell ref="A8:F8"/>
    <mergeCell ref="G8:P8"/>
    <mergeCell ref="A9:F9"/>
    <mergeCell ref="G9:P9"/>
    <mergeCell ref="A24:F24"/>
    <mergeCell ref="P11:P13"/>
    <mergeCell ref="C12:E12"/>
    <mergeCell ref="F12:F13"/>
    <mergeCell ref="G12:G13"/>
    <mergeCell ref="H12:J12"/>
    <mergeCell ref="K12:K13"/>
    <mergeCell ref="L12:L13"/>
    <mergeCell ref="N12:N13"/>
    <mergeCell ref="O12:O13"/>
    <mergeCell ref="N11:O11"/>
    <mergeCell ref="A11:B13"/>
    <mergeCell ref="C11:F11"/>
    <mergeCell ref="G11:J11"/>
    <mergeCell ref="K11:L11"/>
    <mergeCell ref="M11:M13"/>
    <mergeCell ref="A19:B19"/>
    <mergeCell ref="A20:B20"/>
    <mergeCell ref="A21:B21"/>
    <mergeCell ref="A22:B22"/>
    <mergeCell ref="A23:B23"/>
    <mergeCell ref="Q14:W14"/>
    <mergeCell ref="A15:B15"/>
    <mergeCell ref="A16:B16"/>
    <mergeCell ref="A17:B17"/>
    <mergeCell ref="A18:B18"/>
    <mergeCell ref="C33:F33"/>
    <mergeCell ref="A35:P35"/>
    <mergeCell ref="A36:P84"/>
    <mergeCell ref="A27:P27"/>
    <mergeCell ref="A28:P28"/>
    <mergeCell ref="A29:F29"/>
    <mergeCell ref="C30:F30"/>
    <mergeCell ref="C31:F31"/>
    <mergeCell ref="C32:F32"/>
  </mergeCells>
  <dataValidations count="2">
    <dataValidation type="list" allowBlank="1" showInputMessage="1" showErrorMessage="1" sqref="BA13:BA15">
      <formula1>$BA$13:$BA$15</formula1>
    </dataValidation>
    <dataValidation type="list" allowBlank="1" showInputMessage="1" showErrorMessage="1" sqref="M15:M23">
      <formula1>$BA$13:$BA$16</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'AÇÕES ESTRATÉGICAS - DESCRIÇÃO '!$C$2:$C$22</xm:f>
          </x14:formula1>
          <xm:sqref>E20:E23</xm:sqref>
        </x14:dataValidation>
        <x14:dataValidation type="list" allowBlank="1" showInputMessage="1" showErrorMessage="1">
          <x14:formula1>
            <xm:f>[3]Resumo!#REF!</xm:f>
          </x14:formula1>
          <xm:sqref>E16:E19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5:BA83"/>
  <sheetViews>
    <sheetView showGridLines="0" topLeftCell="A9" zoomScale="40" zoomScaleNormal="40" zoomScaleSheetLayoutView="80" workbookViewId="0">
      <selection activeCell="J25" sqref="J25"/>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9.140625" style="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686</v>
      </c>
      <c r="H8" s="570"/>
      <c r="I8" s="570"/>
      <c r="J8" s="570"/>
      <c r="K8" s="570"/>
      <c r="L8" s="570"/>
      <c r="M8" s="570"/>
      <c r="N8" s="570"/>
      <c r="O8" s="570"/>
      <c r="P8" s="571"/>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526</v>
      </c>
      <c r="H9" s="570"/>
      <c r="I9" s="570"/>
      <c r="J9" s="570"/>
      <c r="K9" s="570"/>
      <c r="L9" s="570"/>
      <c r="M9" s="570"/>
      <c r="N9" s="570"/>
      <c r="O9" s="570"/>
      <c r="P9" s="571"/>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215" t="s">
        <v>289</v>
      </c>
      <c r="D13" s="216" t="s">
        <v>288</v>
      </c>
      <c r="E13" s="130" t="s">
        <v>217</v>
      </c>
      <c r="F13" s="582"/>
      <c r="G13" s="582"/>
      <c r="H13" s="215" t="s">
        <v>373</v>
      </c>
      <c r="I13" s="215" t="s">
        <v>374</v>
      </c>
      <c r="J13" s="215"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78.75" x14ac:dyDescent="0.5">
      <c r="A15" s="590" t="s">
        <v>514</v>
      </c>
      <c r="B15" s="591"/>
      <c r="C15" s="61">
        <v>1</v>
      </c>
      <c r="D15" s="61" t="s">
        <v>686</v>
      </c>
      <c r="E15" s="61" t="s">
        <v>281</v>
      </c>
      <c r="F15" s="61" t="s">
        <v>507</v>
      </c>
      <c r="G15" s="150">
        <v>10000</v>
      </c>
      <c r="H15" s="150">
        <v>0</v>
      </c>
      <c r="I15" s="150">
        <v>30000</v>
      </c>
      <c r="J15" s="150">
        <f>H15+I15</f>
        <v>30000</v>
      </c>
      <c r="K15" s="151">
        <f>J15-G15</f>
        <v>20000</v>
      </c>
      <c r="L15" s="152">
        <f>IFERROR(K15/G15*100,0)</f>
        <v>200</v>
      </c>
      <c r="M15" s="152" t="s">
        <v>371</v>
      </c>
      <c r="N15" s="153"/>
      <c r="O15" s="154">
        <f>IFERROR(N15/J15*100,)</f>
        <v>0</v>
      </c>
      <c r="P15" s="155" t="s">
        <v>547</v>
      </c>
      <c r="Z15" s="3"/>
      <c r="AA15" s="118"/>
      <c r="AB15" s="116"/>
      <c r="AC15" s="116"/>
      <c r="AD15" s="116"/>
      <c r="AE15" s="116"/>
      <c r="AF15" s="116"/>
      <c r="AG15" s="3"/>
      <c r="AH15" s="3"/>
      <c r="AI15" s="3"/>
      <c r="AJ15" s="3"/>
      <c r="AZ15" s="188"/>
      <c r="BA15" s="188" t="s">
        <v>213</v>
      </c>
    </row>
    <row r="16" spans="1:53" ht="33.75" hidden="1" x14ac:dyDescent="0.5">
      <c r="A16" s="590"/>
      <c r="B16" s="591"/>
      <c r="C16" s="200"/>
      <c r="D16" s="61"/>
      <c r="E16" s="61"/>
      <c r="F16" s="61"/>
      <c r="G16" s="150"/>
      <c r="H16" s="150"/>
      <c r="I16" s="150"/>
      <c r="J16" s="150">
        <f t="shared" ref="J16:J23" si="1">H16+I16</f>
        <v>0</v>
      </c>
      <c r="K16" s="151">
        <f t="shared" ref="K16:K22" si="2">J16-G16</f>
        <v>0</v>
      </c>
      <c r="L16" s="152">
        <f t="shared" ref="L16:L24" si="3">IFERROR(K16/G16*100,0)</f>
        <v>0</v>
      </c>
      <c r="M16" s="152" t="s">
        <v>371</v>
      </c>
      <c r="N16" s="153"/>
      <c r="O16" s="154">
        <f t="shared" ref="O16:O24" si="4">IFERROR(N16/J16*100,)</f>
        <v>0</v>
      </c>
      <c r="P16" s="155"/>
      <c r="Z16" s="3"/>
      <c r="AA16" s="118"/>
      <c r="AB16" s="116"/>
      <c r="AC16" s="116"/>
      <c r="AD16" s="116"/>
      <c r="AE16" s="116"/>
      <c r="AF16" s="116"/>
      <c r="AG16" s="3"/>
      <c r="AH16" s="3"/>
      <c r="AI16" s="3"/>
      <c r="AJ16" s="3"/>
      <c r="AZ16" s="188"/>
      <c r="BA16" s="188" t="s">
        <v>371</v>
      </c>
    </row>
    <row r="17" spans="1:36" ht="28.5" hidden="1" x14ac:dyDescent="0.4">
      <c r="A17" s="590"/>
      <c r="B17" s="591"/>
      <c r="C17" s="200"/>
      <c r="D17" s="61"/>
      <c r="E17" s="61"/>
      <c r="F17" s="61"/>
      <c r="G17" s="150"/>
      <c r="H17" s="150"/>
      <c r="I17" s="150"/>
      <c r="J17" s="150">
        <f t="shared" si="1"/>
        <v>0</v>
      </c>
      <c r="K17" s="151">
        <f t="shared" si="2"/>
        <v>0</v>
      </c>
      <c r="L17" s="152">
        <f t="shared" si="3"/>
        <v>0</v>
      </c>
      <c r="M17" s="152" t="s">
        <v>371</v>
      </c>
      <c r="N17" s="153"/>
      <c r="O17" s="154">
        <f t="shared" si="4"/>
        <v>0</v>
      </c>
      <c r="P17" s="155"/>
      <c r="Z17" s="3"/>
      <c r="AA17" s="118"/>
      <c r="AB17" s="116"/>
      <c r="AC17" s="116"/>
      <c r="AD17" s="116"/>
      <c r="AE17" s="116"/>
      <c r="AF17" s="116"/>
      <c r="AG17" s="3"/>
      <c r="AH17" s="3"/>
      <c r="AI17" s="3"/>
      <c r="AJ17" s="3"/>
    </row>
    <row r="18" spans="1:36" ht="28.5" hidden="1" x14ac:dyDescent="0.4">
      <c r="A18" s="590"/>
      <c r="B18" s="591"/>
      <c r="C18" s="200"/>
      <c r="D18" s="61"/>
      <c r="E18" s="61"/>
      <c r="F18" s="61"/>
      <c r="G18" s="202"/>
      <c r="H18" s="150"/>
      <c r="I18" s="150"/>
      <c r="J18" s="150">
        <f t="shared" si="1"/>
        <v>0</v>
      </c>
      <c r="K18" s="151">
        <f t="shared" si="2"/>
        <v>0</v>
      </c>
      <c r="L18" s="152">
        <f t="shared" si="3"/>
        <v>0</v>
      </c>
      <c r="M18" s="152"/>
      <c r="N18" s="153"/>
      <c r="O18" s="154">
        <f t="shared" si="4"/>
        <v>0</v>
      </c>
      <c r="P18" s="155"/>
      <c r="Z18" s="3"/>
      <c r="AA18" s="118"/>
      <c r="AB18" s="116"/>
      <c r="AC18" s="116"/>
      <c r="AD18" s="116"/>
      <c r="AE18" s="116"/>
      <c r="AF18" s="116"/>
      <c r="AG18" s="3"/>
      <c r="AH18" s="3"/>
      <c r="AI18" s="3"/>
      <c r="AJ18" s="3"/>
    </row>
    <row r="19" spans="1:36" ht="28.5" hidden="1" x14ac:dyDescent="0.25">
      <c r="A19" s="590"/>
      <c r="B19" s="591"/>
      <c r="C19" s="200"/>
      <c r="D19" s="61"/>
      <c r="E19" s="61"/>
      <c r="F19" s="61"/>
      <c r="G19" s="203"/>
      <c r="H19" s="150"/>
      <c r="I19" s="150"/>
      <c r="J19" s="150">
        <f t="shared" si="1"/>
        <v>0</v>
      </c>
      <c r="K19" s="151">
        <f t="shared" si="2"/>
        <v>0</v>
      </c>
      <c r="L19" s="152">
        <f t="shared" si="3"/>
        <v>0</v>
      </c>
      <c r="M19" s="152"/>
      <c r="N19" s="153"/>
      <c r="O19" s="154">
        <f t="shared" si="4"/>
        <v>0</v>
      </c>
      <c r="P19" s="155"/>
      <c r="Z19" s="3"/>
      <c r="AA19" s="3"/>
      <c r="AB19" s="3"/>
      <c r="AC19" s="3"/>
      <c r="AD19" s="3"/>
      <c r="AE19" s="3"/>
      <c r="AF19" s="3"/>
      <c r="AG19" s="3"/>
      <c r="AH19" s="3"/>
      <c r="AI19" s="3"/>
      <c r="AJ19" s="3"/>
    </row>
    <row r="20" spans="1:36" ht="55.5" hidden="1" customHeight="1" x14ac:dyDescent="0.25">
      <c r="A20" s="590"/>
      <c r="B20" s="591"/>
      <c r="C20" s="61"/>
      <c r="D20" s="61"/>
      <c r="E20" s="61"/>
      <c r="F20" s="61"/>
      <c r="G20" s="150"/>
      <c r="H20" s="150"/>
      <c r="I20" s="150"/>
      <c r="J20" s="150">
        <f t="shared" si="1"/>
        <v>0</v>
      </c>
      <c r="K20" s="151">
        <f t="shared" si="2"/>
        <v>0</v>
      </c>
      <c r="L20" s="152">
        <f t="shared" si="3"/>
        <v>0</v>
      </c>
      <c r="M20" s="152"/>
      <c r="N20" s="153"/>
      <c r="O20" s="154">
        <f t="shared" si="4"/>
        <v>0</v>
      </c>
      <c r="P20" s="155"/>
      <c r="Z20" s="3"/>
      <c r="AA20" s="3"/>
      <c r="AB20" s="3"/>
      <c r="AC20" s="3"/>
      <c r="AD20" s="3"/>
      <c r="AE20" s="3"/>
      <c r="AF20" s="3"/>
      <c r="AG20" s="3"/>
      <c r="AH20" s="3"/>
      <c r="AI20" s="3"/>
      <c r="AJ20" s="3"/>
    </row>
    <row r="21" spans="1:36" ht="55.5" hidden="1" customHeight="1" x14ac:dyDescent="0.25">
      <c r="A21" s="590"/>
      <c r="B21" s="591"/>
      <c r="C21" s="61"/>
      <c r="D21" s="61"/>
      <c r="E21" s="61"/>
      <c r="F21" s="61"/>
      <c r="G21" s="150"/>
      <c r="H21" s="150"/>
      <c r="I21" s="150"/>
      <c r="J21" s="150">
        <f t="shared" si="1"/>
        <v>0</v>
      </c>
      <c r="K21" s="151">
        <f t="shared" si="2"/>
        <v>0</v>
      </c>
      <c r="L21" s="152">
        <f t="shared" si="3"/>
        <v>0</v>
      </c>
      <c r="M21" s="152"/>
      <c r="N21" s="153"/>
      <c r="O21" s="154">
        <f t="shared" si="4"/>
        <v>0</v>
      </c>
      <c r="P21" s="155"/>
      <c r="AA21" s="178"/>
    </row>
    <row r="22" spans="1:36" ht="55.5" hidden="1" customHeight="1" x14ac:dyDescent="0.25">
      <c r="A22" s="590"/>
      <c r="B22" s="591"/>
      <c r="C22" s="61"/>
      <c r="D22" s="61"/>
      <c r="E22" s="61"/>
      <c r="F22" s="61"/>
      <c r="G22" s="150"/>
      <c r="H22" s="150"/>
      <c r="I22" s="150"/>
      <c r="J22" s="150">
        <f t="shared" si="1"/>
        <v>0</v>
      </c>
      <c r="K22" s="151">
        <f t="shared" si="2"/>
        <v>0</v>
      </c>
      <c r="L22" s="152">
        <f t="shared" si="3"/>
        <v>0</v>
      </c>
      <c r="M22" s="152"/>
      <c r="N22" s="153"/>
      <c r="O22" s="154">
        <f t="shared" si="4"/>
        <v>0</v>
      </c>
      <c r="P22" s="155"/>
    </row>
    <row r="23" spans="1:36" ht="55.5" hidden="1" customHeight="1" x14ac:dyDescent="0.25">
      <c r="A23" s="590"/>
      <c r="B23" s="591"/>
      <c r="C23" s="61"/>
      <c r="D23" s="61"/>
      <c r="E23" s="61"/>
      <c r="F23" s="61"/>
      <c r="G23" s="150"/>
      <c r="H23" s="150"/>
      <c r="I23" s="150"/>
      <c r="J23" s="150">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234">
        <f>SUM(G14:G23)</f>
        <v>10000</v>
      </c>
      <c r="H24" s="234">
        <f>SUM(H14:H23)</f>
        <v>0</v>
      </c>
      <c r="I24" s="234">
        <f>SUM(I14:I23)</f>
        <v>30000</v>
      </c>
      <c r="J24" s="234">
        <f>SUM(J14:J23)</f>
        <v>30000</v>
      </c>
      <c r="K24" s="156">
        <f>J24-G24</f>
        <v>20000</v>
      </c>
      <c r="L24" s="156">
        <f t="shared" si="3"/>
        <v>200</v>
      </c>
      <c r="M24" s="156"/>
      <c r="N24" s="157">
        <f>SUM(N14:N23)</f>
        <v>0</v>
      </c>
      <c r="O24" s="156">
        <f t="shared" si="4"/>
        <v>0</v>
      </c>
      <c r="P24" s="158"/>
    </row>
    <row r="25" spans="1:36" x14ac:dyDescent="0.4">
      <c r="A25" s="306" t="s">
        <v>296</v>
      </c>
      <c r="B25" s="306"/>
      <c r="C25" s="306"/>
      <c r="D25" s="306"/>
      <c r="E25" s="306"/>
      <c r="F25" s="306"/>
      <c r="G25" s="306" t="b">
        <f>'Quadro Geral'!J36=G24</f>
        <v>1</v>
      </c>
      <c r="H25" s="306" t="b">
        <f>'Quadro Geral'!K36=H24</f>
        <v>1</v>
      </c>
      <c r="I25" s="306" t="b">
        <f>'Quadro Geral'!L36=I24</f>
        <v>1</v>
      </c>
      <c r="J25" s="306" t="b">
        <f>'Quadro Geral'!M36=J24</f>
        <v>1</v>
      </c>
      <c r="K25" s="306"/>
      <c r="L25" s="306"/>
      <c r="M25" s="306"/>
      <c r="N25" s="306"/>
      <c r="O25" s="306"/>
      <c r="P25" s="306"/>
    </row>
    <row r="26" spans="1:36" ht="36" customHeight="1" x14ac:dyDescent="0.25">
      <c r="A26" s="607" t="s">
        <v>292</v>
      </c>
      <c r="B26" s="608"/>
      <c r="C26" s="608"/>
      <c r="D26" s="608"/>
      <c r="E26" s="608"/>
      <c r="F26" s="608"/>
      <c r="G26" s="608"/>
      <c r="H26" s="608"/>
      <c r="I26" s="608"/>
      <c r="J26" s="608"/>
      <c r="K26" s="608"/>
      <c r="L26" s="608"/>
      <c r="M26" s="608"/>
      <c r="N26" s="608"/>
      <c r="O26" s="608"/>
      <c r="P26" s="609"/>
    </row>
    <row r="27" spans="1:36" ht="95.25" customHeight="1" x14ac:dyDescent="0.4">
      <c r="A27" s="610"/>
      <c r="B27" s="611"/>
      <c r="C27" s="611"/>
      <c r="D27" s="611"/>
      <c r="E27" s="611"/>
      <c r="F27" s="611"/>
      <c r="G27" s="611"/>
      <c r="H27" s="611"/>
      <c r="I27" s="611"/>
      <c r="J27" s="611"/>
      <c r="K27" s="611"/>
      <c r="L27" s="611"/>
      <c r="M27" s="611"/>
      <c r="N27" s="611"/>
      <c r="O27" s="611"/>
      <c r="P27" s="612"/>
    </row>
    <row r="28" spans="1:36" ht="15" hidden="1" customHeight="1" x14ac:dyDescent="0.4">
      <c r="A28" s="613" t="s">
        <v>5</v>
      </c>
      <c r="B28" s="613"/>
      <c r="C28" s="613"/>
      <c r="D28" s="613"/>
      <c r="E28" s="613"/>
      <c r="F28" s="613"/>
      <c r="G28" s="179"/>
      <c r="H28" s="179"/>
      <c r="I28" s="179"/>
      <c r="J28" s="179"/>
      <c r="K28" s="179"/>
      <c r="L28" s="179"/>
      <c r="M28" s="179"/>
      <c r="N28" s="179"/>
      <c r="O28" s="179"/>
      <c r="P28" s="179"/>
    </row>
    <row r="29" spans="1:36" ht="15" hidden="1" customHeight="1" x14ac:dyDescent="0.4">
      <c r="A29" s="70" t="s">
        <v>9</v>
      </c>
      <c r="B29" s="70"/>
      <c r="C29" s="594" t="s">
        <v>13</v>
      </c>
      <c r="D29" s="594"/>
      <c r="E29" s="594"/>
      <c r="F29" s="594"/>
      <c r="N29" s="42"/>
      <c r="O29" s="42"/>
      <c r="P29" s="42"/>
    </row>
    <row r="30" spans="1:36" ht="15" hidden="1" customHeight="1" x14ac:dyDescent="0.4">
      <c r="A30" s="70" t="s">
        <v>10</v>
      </c>
      <c r="B30" s="70"/>
      <c r="C30" s="594" t="s">
        <v>6</v>
      </c>
      <c r="D30" s="594"/>
      <c r="E30" s="594"/>
      <c r="F30" s="594"/>
      <c r="N30" s="42"/>
      <c r="O30" s="42"/>
      <c r="P30" s="42"/>
    </row>
    <row r="31" spans="1:36" ht="15" hidden="1" customHeight="1" x14ac:dyDescent="0.4">
      <c r="A31" s="70" t="s">
        <v>11</v>
      </c>
      <c r="B31" s="70"/>
      <c r="C31" s="594" t="s">
        <v>7</v>
      </c>
      <c r="D31" s="594"/>
      <c r="E31" s="594"/>
      <c r="F31" s="594"/>
      <c r="N31" s="42"/>
      <c r="O31" s="42"/>
      <c r="P31" s="42"/>
    </row>
    <row r="32" spans="1:36" ht="15" hidden="1" customHeight="1" x14ac:dyDescent="0.4">
      <c r="A32" s="70" t="s">
        <v>12</v>
      </c>
      <c r="B32" s="70"/>
      <c r="C32" s="594" t="s">
        <v>8</v>
      </c>
      <c r="D32" s="594"/>
      <c r="E32" s="594"/>
      <c r="F32" s="594"/>
      <c r="N32" s="42"/>
      <c r="O32" s="42"/>
      <c r="P32" s="42"/>
    </row>
    <row r="33" spans="1:20" ht="35.25" customHeight="1" x14ac:dyDescent="0.4"/>
    <row r="34" spans="1:20" x14ac:dyDescent="0.25">
      <c r="A34" s="595" t="s">
        <v>297</v>
      </c>
      <c r="B34" s="596"/>
      <c r="C34" s="596"/>
      <c r="D34" s="596"/>
      <c r="E34" s="596"/>
      <c r="F34" s="596"/>
      <c r="G34" s="596"/>
      <c r="H34" s="596"/>
      <c r="I34" s="596"/>
      <c r="J34" s="596"/>
      <c r="K34" s="596"/>
      <c r="L34" s="596"/>
      <c r="M34" s="596"/>
      <c r="N34" s="596"/>
      <c r="O34" s="596"/>
      <c r="P34" s="597"/>
      <c r="Q34" s="180"/>
      <c r="R34" s="180"/>
      <c r="S34" s="180"/>
      <c r="T34" s="30"/>
    </row>
    <row r="35" spans="1:20" ht="15" hidden="1" x14ac:dyDescent="0.25">
      <c r="A35" s="598" t="s">
        <v>387</v>
      </c>
      <c r="B35" s="599"/>
      <c r="C35" s="599"/>
      <c r="D35" s="599"/>
      <c r="E35" s="599"/>
      <c r="F35" s="599"/>
      <c r="G35" s="599"/>
      <c r="H35" s="599"/>
      <c r="I35" s="599"/>
      <c r="J35" s="599"/>
      <c r="K35" s="599"/>
      <c r="L35" s="599"/>
      <c r="M35" s="599"/>
      <c r="N35" s="599"/>
      <c r="O35" s="599"/>
      <c r="P35" s="600"/>
    </row>
    <row r="36" spans="1:20" ht="15" hidden="1" x14ac:dyDescent="0.25">
      <c r="A36" s="601"/>
      <c r="B36" s="602"/>
      <c r="C36" s="602"/>
      <c r="D36" s="602"/>
      <c r="E36" s="602"/>
      <c r="F36" s="602"/>
      <c r="G36" s="602"/>
      <c r="H36" s="602"/>
      <c r="I36" s="602"/>
      <c r="J36" s="602"/>
      <c r="K36" s="602"/>
      <c r="L36" s="602"/>
      <c r="M36" s="602"/>
      <c r="N36" s="602"/>
      <c r="O36" s="602"/>
      <c r="P36" s="603"/>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26.25" hidden="1" customHeight="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1.5" customHeight="1" x14ac:dyDescent="0.25">
      <c r="A70" s="601"/>
      <c r="B70" s="602"/>
      <c r="C70" s="602"/>
      <c r="D70" s="602"/>
      <c r="E70" s="602"/>
      <c r="F70" s="602"/>
      <c r="G70" s="602"/>
      <c r="H70" s="602"/>
      <c r="I70" s="602"/>
      <c r="J70" s="602"/>
      <c r="K70" s="602"/>
      <c r="L70" s="602"/>
      <c r="M70" s="602"/>
      <c r="N70" s="602"/>
      <c r="O70" s="602"/>
      <c r="P70" s="603"/>
    </row>
    <row r="71" spans="1:16" ht="26.25" hidden="1"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374.25" customHeight="1" thickBot="1" x14ac:dyDescent="0.3">
      <c r="A83" s="604"/>
      <c r="B83" s="605"/>
      <c r="C83" s="605"/>
      <c r="D83" s="605"/>
      <c r="E83" s="605"/>
      <c r="F83" s="605"/>
      <c r="G83" s="605"/>
      <c r="H83" s="605"/>
      <c r="I83" s="605"/>
      <c r="J83" s="605"/>
      <c r="K83" s="605"/>
      <c r="L83" s="605"/>
      <c r="M83" s="605"/>
      <c r="N83" s="605"/>
      <c r="O83" s="605"/>
      <c r="P83" s="606"/>
    </row>
  </sheetData>
  <sheetProtection formatCells="0" formatRows="0" insertRows="0" deleteRows="0"/>
  <mergeCells count="41">
    <mergeCell ref="A6:P6"/>
    <mergeCell ref="A7:P7"/>
    <mergeCell ref="A8:F8"/>
    <mergeCell ref="G8:P8"/>
    <mergeCell ref="A9:F9"/>
    <mergeCell ref="G9:P9"/>
    <mergeCell ref="A24:F24"/>
    <mergeCell ref="P11:P13"/>
    <mergeCell ref="C12:E12"/>
    <mergeCell ref="F12:F13"/>
    <mergeCell ref="G12:G13"/>
    <mergeCell ref="H12:J12"/>
    <mergeCell ref="K12:K13"/>
    <mergeCell ref="L12:L13"/>
    <mergeCell ref="N12:N13"/>
    <mergeCell ref="O12:O13"/>
    <mergeCell ref="N11:O11"/>
    <mergeCell ref="A11:B13"/>
    <mergeCell ref="C11:F11"/>
    <mergeCell ref="G11:J11"/>
    <mergeCell ref="K11:L11"/>
    <mergeCell ref="M11:M13"/>
    <mergeCell ref="A19:B19"/>
    <mergeCell ref="A20:B20"/>
    <mergeCell ref="A21:B21"/>
    <mergeCell ref="A22:B22"/>
    <mergeCell ref="A23:B23"/>
    <mergeCell ref="Q14:W14"/>
    <mergeCell ref="A15:B15"/>
    <mergeCell ref="A16:B16"/>
    <mergeCell ref="A17:B17"/>
    <mergeCell ref="A18:B18"/>
    <mergeCell ref="C32:F32"/>
    <mergeCell ref="A34:P34"/>
    <mergeCell ref="A35:P83"/>
    <mergeCell ref="A26:P26"/>
    <mergeCell ref="A27:P27"/>
    <mergeCell ref="A28:F28"/>
    <mergeCell ref="C29:F29"/>
    <mergeCell ref="C30:F30"/>
    <mergeCell ref="C31:F31"/>
  </mergeCells>
  <dataValidations count="2">
    <dataValidation type="list" allowBlank="1" showInputMessage="1" showErrorMessage="1" sqref="M15:M23">
      <formula1>$BA$13:$BA$16</formula1>
    </dataValidation>
    <dataValidation type="list" allowBlank="1" showInputMessage="1" showErrorMessage="1" sqref="BA13:BA15">
      <formula1>$BA$13:$BA$15</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[3]Resumo!#REF!</xm:f>
          </x14:formula1>
          <xm:sqref>E16:E19</xm:sqref>
        </x14:dataValidation>
        <x14:dataValidation type="list" allowBlank="1" showInputMessage="1" showErrorMessage="1">
          <x14:formula1>
            <xm:f>'AÇÕES ESTRATÉGICAS - DESCRIÇÃO '!$C$2:$C$22</xm:f>
          </x14:formula1>
          <xm:sqref>E20:E23</xm:sqref>
        </x14:dataValidation>
        <x14:dataValidation type="list" allowBlank="1" showInputMessage="1" showErrorMessage="1">
          <x14:formula1>
            <xm:f>[3]Resumo!#REF!</xm:f>
          </x14:formula1>
          <xm:sqref>E15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6"/>
  <sheetViews>
    <sheetView showGridLines="0" tabSelected="1" view="pageBreakPreview" topLeftCell="A63" zoomScale="38" zoomScaleNormal="39" zoomScaleSheetLayoutView="38" workbookViewId="0">
      <selection activeCell="A90" sqref="A90"/>
    </sheetView>
  </sheetViews>
  <sheetFormatPr defaultRowHeight="28.5" x14ac:dyDescent="0.45"/>
  <cols>
    <col min="1" max="1" width="159.7109375" customWidth="1"/>
    <col min="2" max="2" width="165.140625" style="8" customWidth="1"/>
    <col min="3" max="3" width="44" customWidth="1"/>
    <col min="4" max="4" width="39.42578125" style="8" customWidth="1"/>
    <col min="5" max="6" width="34" customWidth="1"/>
    <col min="7" max="7" width="54.5703125" hidden="1" customWidth="1"/>
    <col min="8" max="11" width="0" hidden="1" customWidth="1"/>
    <col min="12" max="12" width="24.28515625" style="237" hidden="1" customWidth="1"/>
    <col min="13" max="13" width="22.140625" style="237" hidden="1" customWidth="1"/>
    <col min="14" max="14" width="16.42578125" hidden="1" customWidth="1"/>
  </cols>
  <sheetData>
    <row r="1" spans="1:13" ht="63" customHeight="1" x14ac:dyDescent="0.45">
      <c r="A1" s="110"/>
      <c r="B1" s="111"/>
      <c r="C1" s="111"/>
      <c r="D1" s="111"/>
      <c r="E1" s="110"/>
      <c r="F1" s="110"/>
    </row>
    <row r="2" spans="1:13" ht="74.25" customHeight="1" x14ac:dyDescent="0.45">
      <c r="A2" s="407" t="s">
        <v>98</v>
      </c>
      <c r="B2" s="408"/>
      <c r="C2" s="408"/>
      <c r="D2" s="408"/>
      <c r="E2" s="408"/>
      <c r="F2" s="408"/>
    </row>
    <row r="3" spans="1:13" ht="42" customHeight="1" x14ac:dyDescent="0.45">
      <c r="A3" s="409" t="s">
        <v>511</v>
      </c>
      <c r="B3" s="409"/>
      <c r="C3" s="409"/>
      <c r="D3" s="409"/>
      <c r="E3" s="409"/>
      <c r="F3" s="409"/>
    </row>
    <row r="4" spans="1:13" ht="51" customHeight="1" x14ac:dyDescent="0.45">
      <c r="A4" s="409" t="s">
        <v>51</v>
      </c>
      <c r="B4" s="409"/>
      <c r="C4" s="409"/>
      <c r="D4" s="409"/>
      <c r="E4" s="409"/>
      <c r="F4" s="409"/>
    </row>
    <row r="5" spans="1:13" x14ac:dyDescent="0.45">
      <c r="A5" s="63"/>
      <c r="B5" s="112"/>
      <c r="C5" s="64"/>
      <c r="D5" s="112"/>
      <c r="E5" s="113"/>
      <c r="F5" s="113"/>
    </row>
    <row r="6" spans="1:13" ht="51.95" customHeight="1" x14ac:dyDescent="0.45">
      <c r="A6" s="410" t="s">
        <v>78</v>
      </c>
      <c r="B6" s="411"/>
      <c r="C6" s="411"/>
      <c r="D6" s="411"/>
      <c r="E6" s="411"/>
      <c r="F6" s="411"/>
    </row>
    <row r="7" spans="1:13" ht="81" customHeight="1" x14ac:dyDescent="0.45">
      <c r="A7" s="72" t="s">
        <v>37</v>
      </c>
      <c r="B7" s="391" t="s">
        <v>75</v>
      </c>
      <c r="C7" s="391"/>
      <c r="D7" s="71" t="s">
        <v>76</v>
      </c>
      <c r="E7" s="71" t="s">
        <v>314</v>
      </c>
      <c r="F7" s="71" t="s">
        <v>317</v>
      </c>
    </row>
    <row r="8" spans="1:13" ht="65.099999999999994" customHeight="1" x14ac:dyDescent="0.45">
      <c r="A8" s="412" t="s">
        <v>334</v>
      </c>
      <c r="B8" s="162" t="s">
        <v>126</v>
      </c>
      <c r="C8" s="398" t="s">
        <v>127</v>
      </c>
      <c r="D8" s="400" t="s">
        <v>106</v>
      </c>
      <c r="E8" s="414">
        <f>193/417</f>
        <v>0.46282973621103118</v>
      </c>
      <c r="F8" s="414">
        <v>0.46</v>
      </c>
      <c r="L8" s="381" t="b">
        <f>E8='[2]Indicadores e Metas'!$F$7</f>
        <v>1</v>
      </c>
    </row>
    <row r="9" spans="1:13" ht="65.099999999999994" customHeight="1" x14ac:dyDescent="0.45">
      <c r="A9" s="413"/>
      <c r="B9" s="115" t="s">
        <v>128</v>
      </c>
      <c r="C9" s="399"/>
      <c r="D9" s="392"/>
      <c r="E9" s="415"/>
      <c r="F9" s="415"/>
      <c r="L9" s="381"/>
    </row>
    <row r="10" spans="1:13" ht="51.95" customHeight="1" x14ac:dyDescent="0.45">
      <c r="A10" s="395" t="s">
        <v>77</v>
      </c>
      <c r="B10" s="395"/>
      <c r="C10" s="395"/>
      <c r="D10" s="395"/>
      <c r="E10" s="395"/>
      <c r="F10" s="395"/>
    </row>
    <row r="11" spans="1:13" s="134" customFormat="1" ht="78.75" customHeight="1" x14ac:dyDescent="0.45">
      <c r="A11" s="72" t="s">
        <v>38</v>
      </c>
      <c r="B11" s="391" t="s">
        <v>75</v>
      </c>
      <c r="C11" s="391"/>
      <c r="D11" s="71" t="s">
        <v>76</v>
      </c>
      <c r="E11" s="71" t="s">
        <v>314</v>
      </c>
      <c r="F11" s="71" t="s">
        <v>317</v>
      </c>
      <c r="G11" s="449" t="s">
        <v>271</v>
      </c>
      <c r="H11" s="450"/>
      <c r="I11" s="450"/>
      <c r="J11" s="450"/>
      <c r="K11" s="451"/>
      <c r="L11" s="237"/>
      <c r="M11" s="237"/>
    </row>
    <row r="12" spans="1:13" ht="65.099999999999994" customHeight="1" x14ac:dyDescent="0.45">
      <c r="A12" s="396" t="s">
        <v>129</v>
      </c>
      <c r="B12" s="162" t="s">
        <v>130</v>
      </c>
      <c r="C12" s="398" t="s">
        <v>127</v>
      </c>
      <c r="D12" s="400" t="s">
        <v>107</v>
      </c>
      <c r="E12" s="401">
        <v>0.23</v>
      </c>
      <c r="F12" s="401">
        <v>0.23</v>
      </c>
      <c r="G12" s="7"/>
      <c r="H12" s="7"/>
      <c r="I12" s="7"/>
      <c r="J12" s="7"/>
      <c r="K12" s="7"/>
      <c r="L12" s="452" t="b">
        <f>E12='[2]Indicadores e Metas'!$F$11</f>
        <v>1</v>
      </c>
      <c r="M12" s="239">
        <f>'[2]Indicadores e Metas'!$F$11</f>
        <v>0.23</v>
      </c>
    </row>
    <row r="13" spans="1:13" ht="65.099999999999994" customHeight="1" x14ac:dyDescent="0.45">
      <c r="A13" s="397"/>
      <c r="B13" s="115" t="s">
        <v>131</v>
      </c>
      <c r="C13" s="399"/>
      <c r="D13" s="392"/>
      <c r="E13" s="402"/>
      <c r="F13" s="402"/>
      <c r="G13" s="7"/>
      <c r="H13" s="7"/>
      <c r="I13" s="7"/>
      <c r="J13" s="7"/>
      <c r="K13" s="7"/>
      <c r="L13" s="452"/>
      <c r="M13" s="238"/>
    </row>
    <row r="14" spans="1:13" ht="65.099999999999994" customHeight="1" x14ac:dyDescent="0.45">
      <c r="A14" s="397" t="s">
        <v>108</v>
      </c>
      <c r="B14" s="114" t="s">
        <v>132</v>
      </c>
      <c r="C14" s="399" t="s">
        <v>127</v>
      </c>
      <c r="D14" s="392" t="s">
        <v>107</v>
      </c>
      <c r="E14" s="403">
        <v>7.5999999999999998E-2</v>
      </c>
      <c r="F14" s="403">
        <v>7.5999999999999998E-2</v>
      </c>
      <c r="L14" s="381" t="b">
        <f>E14='[2]Indicadores e Metas'!$F$13</f>
        <v>1</v>
      </c>
    </row>
    <row r="15" spans="1:13" ht="65.099999999999994" customHeight="1" x14ac:dyDescent="0.45">
      <c r="A15" s="397"/>
      <c r="B15" s="115" t="s">
        <v>133</v>
      </c>
      <c r="C15" s="399"/>
      <c r="D15" s="392"/>
      <c r="E15" s="404"/>
      <c r="F15" s="404"/>
      <c r="L15" s="381"/>
    </row>
    <row r="16" spans="1:13" ht="65.099999999999994" customHeight="1" x14ac:dyDescent="0.45">
      <c r="A16" s="397" t="s">
        <v>134</v>
      </c>
      <c r="B16" s="387" t="s">
        <v>135</v>
      </c>
      <c r="C16" s="388"/>
      <c r="D16" s="392" t="s">
        <v>136</v>
      </c>
      <c r="E16" s="405">
        <f>19482/12/6033</f>
        <v>0.26910326537377754</v>
      </c>
      <c r="F16" s="405">
        <f>19482/12/6033</f>
        <v>0.26910326537377754</v>
      </c>
      <c r="L16" s="381" t="b">
        <f>E16='[2]Indicadores e Metas'!$F$15</f>
        <v>1</v>
      </c>
    </row>
    <row r="17" spans="1:14" ht="48" customHeight="1" x14ac:dyDescent="0.45">
      <c r="A17" s="397"/>
      <c r="B17" s="389" t="s">
        <v>137</v>
      </c>
      <c r="C17" s="390"/>
      <c r="D17" s="392"/>
      <c r="E17" s="406"/>
      <c r="F17" s="406"/>
      <c r="L17" s="381"/>
    </row>
    <row r="18" spans="1:14" ht="65.099999999999994" hidden="1" customHeight="1" x14ac:dyDescent="0.45">
      <c r="A18" s="397" t="s">
        <v>138</v>
      </c>
      <c r="B18" s="114" t="s">
        <v>139</v>
      </c>
      <c r="C18" s="399" t="s">
        <v>140</v>
      </c>
      <c r="D18" s="392" t="s">
        <v>136</v>
      </c>
      <c r="E18" s="416"/>
      <c r="F18" s="416"/>
    </row>
    <row r="19" spans="1:14" ht="65.099999999999994" hidden="1" customHeight="1" x14ac:dyDescent="0.45">
      <c r="A19" s="397"/>
      <c r="B19" s="115" t="s">
        <v>141</v>
      </c>
      <c r="C19" s="399"/>
      <c r="D19" s="392"/>
      <c r="E19" s="416"/>
      <c r="F19" s="416"/>
    </row>
    <row r="20" spans="1:14" ht="65.099999999999994" customHeight="1" x14ac:dyDescent="0.45">
      <c r="A20" s="397" t="s">
        <v>142</v>
      </c>
      <c r="B20" s="114" t="s">
        <v>143</v>
      </c>
      <c r="C20" s="399" t="s">
        <v>140</v>
      </c>
      <c r="D20" s="392" t="s">
        <v>144</v>
      </c>
      <c r="E20" s="417">
        <v>0.8</v>
      </c>
      <c r="F20" s="417">
        <v>0.8</v>
      </c>
      <c r="L20" s="381" t="b">
        <f>E20='[2]Indicadores e Metas'!$F$19</f>
        <v>1</v>
      </c>
    </row>
    <row r="21" spans="1:14" x14ac:dyDescent="0.45">
      <c r="A21" s="397"/>
      <c r="B21" s="115" t="s">
        <v>145</v>
      </c>
      <c r="C21" s="399"/>
      <c r="D21" s="392"/>
      <c r="E21" s="384"/>
      <c r="F21" s="384"/>
      <c r="L21" s="381"/>
    </row>
    <row r="22" spans="1:14" ht="65.099999999999994" hidden="1" customHeight="1" x14ac:dyDescent="0.45">
      <c r="A22" s="333" t="s">
        <v>146</v>
      </c>
      <c r="B22" s="114" t="s">
        <v>147</v>
      </c>
      <c r="C22" s="330" t="s">
        <v>127</v>
      </c>
      <c r="D22" s="331" t="s">
        <v>144</v>
      </c>
      <c r="E22" s="332"/>
      <c r="F22" s="332"/>
    </row>
    <row r="23" spans="1:14" s="134" customFormat="1" ht="81" customHeight="1" x14ac:dyDescent="0.45">
      <c r="A23" s="72" t="s">
        <v>39</v>
      </c>
      <c r="B23" s="391" t="s">
        <v>75</v>
      </c>
      <c r="C23" s="391"/>
      <c r="D23" s="71" t="s">
        <v>76</v>
      </c>
      <c r="E23" s="71" t="s">
        <v>314</v>
      </c>
      <c r="F23" s="71" t="s">
        <v>299</v>
      </c>
      <c r="L23" s="237"/>
      <c r="M23" s="237"/>
    </row>
    <row r="24" spans="1:14" ht="65.099999999999994" customHeight="1" x14ac:dyDescent="0.45">
      <c r="A24" s="418" t="s">
        <v>148</v>
      </c>
      <c r="B24" s="171" t="s">
        <v>149</v>
      </c>
      <c r="C24" s="419" t="s">
        <v>127</v>
      </c>
      <c r="D24" s="420" t="s">
        <v>107</v>
      </c>
      <c r="E24" s="393">
        <v>0.85</v>
      </c>
      <c r="F24" s="393">
        <v>0.85</v>
      </c>
      <c r="L24" s="381" t="b">
        <f>E24='[2]Indicadores e Metas'!$F$24</f>
        <v>1</v>
      </c>
    </row>
    <row r="25" spans="1:14" ht="65.099999999999994" customHeight="1" x14ac:dyDescent="0.45">
      <c r="A25" s="418"/>
      <c r="B25" s="170" t="s">
        <v>150</v>
      </c>
      <c r="C25" s="419"/>
      <c r="D25" s="420"/>
      <c r="E25" s="394"/>
      <c r="F25" s="394"/>
      <c r="L25" s="381"/>
    </row>
    <row r="26" spans="1:14" ht="65.099999999999994" customHeight="1" x14ac:dyDescent="0.45">
      <c r="A26" s="418" t="s">
        <v>151</v>
      </c>
      <c r="B26" s="172" t="s">
        <v>152</v>
      </c>
      <c r="C26" s="419" t="s">
        <v>127</v>
      </c>
      <c r="D26" s="420" t="s">
        <v>107</v>
      </c>
      <c r="E26" s="393">
        <v>0.75</v>
      </c>
      <c r="F26" s="393">
        <v>0.75</v>
      </c>
      <c r="L26" s="381" t="b">
        <f>E26='[2]Indicadores e Metas'!$F$26</f>
        <v>1</v>
      </c>
    </row>
    <row r="27" spans="1:14" ht="65.099999999999994" customHeight="1" x14ac:dyDescent="0.45">
      <c r="A27" s="418"/>
      <c r="B27" s="170" t="s">
        <v>153</v>
      </c>
      <c r="C27" s="419"/>
      <c r="D27" s="420"/>
      <c r="E27" s="394"/>
      <c r="F27" s="394"/>
      <c r="L27" s="381"/>
    </row>
    <row r="28" spans="1:14" s="134" customFormat="1" ht="81" customHeight="1" x14ac:dyDescent="0.45">
      <c r="A28" s="72" t="s">
        <v>40</v>
      </c>
      <c r="B28" s="391" t="s">
        <v>75</v>
      </c>
      <c r="C28" s="391"/>
      <c r="D28" s="71" t="s">
        <v>76</v>
      </c>
      <c r="E28" s="71" t="s">
        <v>314</v>
      </c>
      <c r="F28" s="71" t="s">
        <v>299</v>
      </c>
      <c r="L28" s="237"/>
      <c r="M28" s="237"/>
    </row>
    <row r="29" spans="1:14" ht="65.099999999999994" customHeight="1" x14ac:dyDescent="0.4">
      <c r="A29" s="418" t="s">
        <v>323</v>
      </c>
      <c r="B29" s="171" t="s">
        <v>154</v>
      </c>
      <c r="C29" s="419" t="s">
        <v>127</v>
      </c>
      <c r="D29" s="420" t="s">
        <v>106</v>
      </c>
      <c r="E29" s="423">
        <v>8.6636381612052414E-3</v>
      </c>
      <c r="F29" s="638">
        <f>'Anexo 2. Limites Estratégicos'!E20/'Quadro Geral'!M41</f>
        <v>7.3715192071005225E-3</v>
      </c>
      <c r="G29" s="7"/>
      <c r="H29" s="7"/>
      <c r="I29" s="7"/>
      <c r="J29" s="7"/>
      <c r="K29" s="7"/>
      <c r="L29" s="452" t="b">
        <f>E29='[2]Indicadores e Metas'!$F$29</f>
        <v>1</v>
      </c>
      <c r="M29" s="379">
        <f>'Quadro Geral'!J25/'Quadro Geral'!J41</f>
        <v>8.6636381612052414E-3</v>
      </c>
      <c r="N29" s="379">
        <f>'Anexo 2. Limites Estratégicos'!E20/'Quadro Geral'!M41</f>
        <v>7.3715192071005225E-3</v>
      </c>
    </row>
    <row r="30" spans="1:14" ht="65.099999999999994" customHeight="1" x14ac:dyDescent="0.25">
      <c r="A30" s="418"/>
      <c r="B30" s="170" t="s">
        <v>155</v>
      </c>
      <c r="C30" s="419"/>
      <c r="D30" s="420"/>
      <c r="E30" s="423"/>
      <c r="F30" s="639"/>
      <c r="G30" s="7"/>
      <c r="H30" s="7"/>
      <c r="I30" s="7"/>
      <c r="J30" s="7"/>
      <c r="K30" s="7"/>
      <c r="L30" s="452"/>
      <c r="M30" s="379"/>
      <c r="N30" s="379"/>
    </row>
    <row r="31" spans="1:14" ht="65.099999999999994" customHeight="1" x14ac:dyDescent="0.45">
      <c r="A31" s="418" t="s">
        <v>156</v>
      </c>
      <c r="B31" s="172" t="s">
        <v>157</v>
      </c>
      <c r="C31" s="419" t="s">
        <v>127</v>
      </c>
      <c r="D31" s="420" t="s">
        <v>106</v>
      </c>
      <c r="E31" s="421">
        <v>1</v>
      </c>
      <c r="F31" s="421">
        <v>1</v>
      </c>
      <c r="L31" s="381" t="b">
        <f>E31='[2]Indicadores e Metas'!$F$31</f>
        <v>1</v>
      </c>
    </row>
    <row r="32" spans="1:14" ht="65.099999999999994" customHeight="1" x14ac:dyDescent="0.45">
      <c r="A32" s="418"/>
      <c r="B32" s="170" t="s">
        <v>154</v>
      </c>
      <c r="C32" s="419"/>
      <c r="D32" s="420"/>
      <c r="E32" s="422"/>
      <c r="F32" s="422"/>
      <c r="L32" s="381"/>
    </row>
    <row r="33" spans="1:13" s="134" customFormat="1" ht="81" customHeight="1" x14ac:dyDescent="0.45">
      <c r="A33" s="72" t="s">
        <v>41</v>
      </c>
      <c r="B33" s="391" t="s">
        <v>75</v>
      </c>
      <c r="C33" s="391"/>
      <c r="D33" s="71" t="s">
        <v>76</v>
      </c>
      <c r="E33" s="71" t="s">
        <v>314</v>
      </c>
      <c r="F33" s="71" t="s">
        <v>299</v>
      </c>
      <c r="L33" s="237"/>
      <c r="M33" s="237"/>
    </row>
    <row r="34" spans="1:13" ht="74.25" customHeight="1" x14ac:dyDescent="0.45">
      <c r="A34" s="424" t="s">
        <v>333</v>
      </c>
      <c r="B34" s="169" t="s">
        <v>158</v>
      </c>
      <c r="C34" s="425" t="s">
        <v>127</v>
      </c>
      <c r="D34" s="426" t="s">
        <v>106</v>
      </c>
      <c r="E34" s="416"/>
      <c r="F34" s="416"/>
      <c r="L34" s="237" t="s">
        <v>702</v>
      </c>
    </row>
    <row r="35" spans="1:13" ht="75.75" customHeight="1" x14ac:dyDescent="0.45">
      <c r="A35" s="424"/>
      <c r="B35" s="167" t="s">
        <v>159</v>
      </c>
      <c r="C35" s="425"/>
      <c r="D35" s="426"/>
      <c r="E35" s="416"/>
      <c r="F35" s="416"/>
    </row>
    <row r="36" spans="1:13" ht="65.099999999999994" customHeight="1" x14ac:dyDescent="0.45">
      <c r="A36" s="424" t="s">
        <v>160</v>
      </c>
      <c r="B36" s="168" t="s">
        <v>161</v>
      </c>
      <c r="C36" s="425" t="s">
        <v>127</v>
      </c>
      <c r="D36" s="426" t="s">
        <v>106</v>
      </c>
      <c r="E36" s="427">
        <f>56/417</f>
        <v>0.1342925659472422</v>
      </c>
      <c r="F36" s="427">
        <v>0.13</v>
      </c>
      <c r="L36" s="381" t="b">
        <f>E36='[2]Indicadores e Metas'!$F$36</f>
        <v>1</v>
      </c>
    </row>
    <row r="37" spans="1:13" ht="65.099999999999994" customHeight="1" x14ac:dyDescent="0.45">
      <c r="A37" s="424"/>
      <c r="B37" s="167" t="s">
        <v>162</v>
      </c>
      <c r="C37" s="425"/>
      <c r="D37" s="426"/>
      <c r="E37" s="428"/>
      <c r="F37" s="428"/>
      <c r="L37" s="381"/>
    </row>
    <row r="38" spans="1:13" s="134" customFormat="1" ht="78.75" hidden="1" customHeight="1" x14ac:dyDescent="0.45">
      <c r="A38" s="72" t="s">
        <v>42</v>
      </c>
      <c r="B38" s="391" t="s">
        <v>75</v>
      </c>
      <c r="C38" s="391"/>
      <c r="D38" s="71" t="s">
        <v>76</v>
      </c>
      <c r="E38" s="71" t="s">
        <v>314</v>
      </c>
      <c r="F38" s="71" t="s">
        <v>299</v>
      </c>
      <c r="G38" s="449" t="s">
        <v>271</v>
      </c>
      <c r="H38" s="450"/>
      <c r="I38" s="450"/>
      <c r="J38" s="450"/>
      <c r="K38" s="451"/>
      <c r="L38" s="237"/>
      <c r="M38" s="237"/>
    </row>
    <row r="39" spans="1:13" ht="65.099999999999994" hidden="1" customHeight="1" x14ac:dyDescent="0.45">
      <c r="A39" s="413" t="s">
        <v>390</v>
      </c>
      <c r="B39" s="114" t="s">
        <v>163</v>
      </c>
      <c r="C39" s="399" t="s">
        <v>164</v>
      </c>
      <c r="D39" s="392" t="s">
        <v>106</v>
      </c>
      <c r="E39" s="416"/>
      <c r="F39" s="416"/>
    </row>
    <row r="40" spans="1:13" ht="65.099999999999994" hidden="1" customHeight="1" x14ac:dyDescent="0.45">
      <c r="A40" s="413"/>
      <c r="B40" s="115" t="s">
        <v>165</v>
      </c>
      <c r="C40" s="399"/>
      <c r="D40" s="392"/>
      <c r="E40" s="416"/>
      <c r="F40" s="416"/>
    </row>
    <row r="41" spans="1:13" ht="65.099999999999994" hidden="1" customHeight="1" x14ac:dyDescent="0.45">
      <c r="A41" s="329" t="s">
        <v>166</v>
      </c>
      <c r="B41" s="114" t="s">
        <v>332</v>
      </c>
      <c r="C41" s="330" t="s">
        <v>127</v>
      </c>
      <c r="D41" s="331" t="s">
        <v>106</v>
      </c>
      <c r="E41" s="332"/>
      <c r="F41" s="332"/>
    </row>
    <row r="42" spans="1:13" s="134" customFormat="1" ht="78.75" customHeight="1" x14ac:dyDescent="0.45">
      <c r="A42" s="72" t="s">
        <v>43</v>
      </c>
      <c r="B42" s="391" t="s">
        <v>75</v>
      </c>
      <c r="C42" s="391"/>
      <c r="D42" s="71" t="s">
        <v>76</v>
      </c>
      <c r="E42" s="71" t="s">
        <v>314</v>
      </c>
      <c r="F42" s="71" t="s">
        <v>299</v>
      </c>
      <c r="G42" s="449" t="s">
        <v>271</v>
      </c>
      <c r="H42" s="450"/>
      <c r="I42" s="450"/>
      <c r="J42" s="450"/>
      <c r="K42" s="451"/>
      <c r="L42" s="237"/>
      <c r="M42" s="237"/>
    </row>
    <row r="43" spans="1:13" ht="86.25" customHeight="1" x14ac:dyDescent="0.45">
      <c r="A43" s="145" t="s">
        <v>188</v>
      </c>
      <c r="B43" s="392" t="s">
        <v>167</v>
      </c>
      <c r="C43" s="392"/>
      <c r="D43" s="146" t="s">
        <v>136</v>
      </c>
      <c r="E43" s="218">
        <v>70000</v>
      </c>
      <c r="F43" s="218">
        <v>70000</v>
      </c>
      <c r="L43" s="237" t="b">
        <f>E43='[2]Indicadores e Metas'!$F$44</f>
        <v>1</v>
      </c>
    </row>
    <row r="44" spans="1:13" ht="65.099999999999994" hidden="1" customHeight="1" x14ac:dyDescent="0.45">
      <c r="A44" s="413" t="s">
        <v>189</v>
      </c>
      <c r="B44" s="114" t="s">
        <v>330</v>
      </c>
      <c r="C44" s="399" t="s">
        <v>127</v>
      </c>
      <c r="D44" s="420" t="s">
        <v>107</v>
      </c>
      <c r="E44" s="416"/>
      <c r="F44" s="416"/>
    </row>
    <row r="45" spans="1:13" ht="65.099999999999994" hidden="1" customHeight="1" x14ac:dyDescent="0.45">
      <c r="A45" s="413"/>
      <c r="B45" s="115" t="s">
        <v>168</v>
      </c>
      <c r="C45" s="399"/>
      <c r="D45" s="420"/>
      <c r="E45" s="416"/>
      <c r="F45" s="416"/>
    </row>
    <row r="46" spans="1:13" ht="65.099999999999994" hidden="1" customHeight="1" x14ac:dyDescent="0.45">
      <c r="A46" s="413" t="s">
        <v>190</v>
      </c>
      <c r="B46" s="114" t="s">
        <v>331</v>
      </c>
      <c r="C46" s="399" t="s">
        <v>127</v>
      </c>
      <c r="D46" s="420" t="s">
        <v>107</v>
      </c>
      <c r="E46" s="416"/>
      <c r="F46" s="416"/>
    </row>
    <row r="47" spans="1:13" ht="65.099999999999994" hidden="1" customHeight="1" x14ac:dyDescent="0.45">
      <c r="A47" s="413"/>
      <c r="B47" s="115" t="s">
        <v>169</v>
      </c>
      <c r="C47" s="399"/>
      <c r="D47" s="420"/>
      <c r="E47" s="416"/>
      <c r="F47" s="416"/>
    </row>
    <row r="48" spans="1:13" s="134" customFormat="1" ht="81" customHeight="1" x14ac:dyDescent="0.45">
      <c r="A48" s="72" t="s">
        <v>44</v>
      </c>
      <c r="B48" s="391" t="s">
        <v>75</v>
      </c>
      <c r="C48" s="391"/>
      <c r="D48" s="71" t="s">
        <v>76</v>
      </c>
      <c r="E48" s="71" t="s">
        <v>314</v>
      </c>
      <c r="F48" s="71" t="s">
        <v>299</v>
      </c>
      <c r="L48" s="237"/>
      <c r="M48" s="237"/>
    </row>
    <row r="49" spans="1:16" ht="65.099999999999994" customHeight="1" x14ac:dyDescent="0.45">
      <c r="A49" s="413" t="s">
        <v>318</v>
      </c>
      <c r="B49" s="163" t="s">
        <v>328</v>
      </c>
      <c r="C49" s="429" t="s">
        <v>127</v>
      </c>
      <c r="D49" s="430" t="s">
        <v>106</v>
      </c>
      <c r="E49" s="393">
        <v>0.95</v>
      </c>
      <c r="F49" s="393">
        <v>0.95</v>
      </c>
      <c r="L49" s="381" t="b">
        <f>E49='[2]Indicadores e Metas'!$F$50</f>
        <v>1</v>
      </c>
    </row>
    <row r="50" spans="1:16" ht="72" customHeight="1" x14ac:dyDescent="0.45">
      <c r="A50" s="413"/>
      <c r="B50" s="164" t="s">
        <v>170</v>
      </c>
      <c r="C50" s="429"/>
      <c r="D50" s="430"/>
      <c r="E50" s="394"/>
      <c r="F50" s="394"/>
      <c r="L50" s="381"/>
    </row>
    <row r="51" spans="1:16" ht="65.099999999999994" customHeight="1" x14ac:dyDescent="0.45">
      <c r="A51" s="437" t="s">
        <v>191</v>
      </c>
      <c r="B51" s="166" t="s">
        <v>329</v>
      </c>
      <c r="C51" s="438" t="s">
        <v>127</v>
      </c>
      <c r="D51" s="439" t="s">
        <v>106</v>
      </c>
      <c r="E51" s="393">
        <v>0.5</v>
      </c>
      <c r="F51" s="393">
        <v>0.5</v>
      </c>
      <c r="L51" s="381" t="b">
        <f>E51='[2]Indicadores e Metas'!$F$52</f>
        <v>1</v>
      </c>
    </row>
    <row r="52" spans="1:16" ht="85.5" customHeight="1" x14ac:dyDescent="0.45">
      <c r="A52" s="437"/>
      <c r="B52" s="165" t="s">
        <v>171</v>
      </c>
      <c r="C52" s="438"/>
      <c r="D52" s="439"/>
      <c r="E52" s="394"/>
      <c r="F52" s="394"/>
      <c r="L52" s="381"/>
    </row>
    <row r="53" spans="1:16" s="134" customFormat="1" ht="81" customHeight="1" x14ac:dyDescent="0.45">
      <c r="A53" s="72" t="s">
        <v>45</v>
      </c>
      <c r="B53" s="391" t="s">
        <v>75</v>
      </c>
      <c r="C53" s="391"/>
      <c r="D53" s="71" t="s">
        <v>76</v>
      </c>
      <c r="E53" s="71" t="s">
        <v>314</v>
      </c>
      <c r="F53" s="71" t="s">
        <v>299</v>
      </c>
      <c r="L53" s="237"/>
      <c r="M53" s="237"/>
    </row>
    <row r="54" spans="1:16" ht="65.099999999999994" customHeight="1" x14ac:dyDescent="0.45">
      <c r="A54" s="431" t="s">
        <v>172</v>
      </c>
      <c r="B54" s="434" t="s">
        <v>320</v>
      </c>
      <c r="C54" s="435"/>
      <c r="D54" s="436" t="s">
        <v>107</v>
      </c>
      <c r="E54" s="405">
        <f>19482/(14873064/1000)</f>
        <v>1.309884768868069</v>
      </c>
      <c r="F54" s="383">
        <v>0.9</v>
      </c>
      <c r="L54" s="452" t="b">
        <f>E54='[2]Indicadores e Metas'!$F$55</f>
        <v>1</v>
      </c>
      <c r="N54" s="380" t="e">
        <f>#REF!/('Indicadores e Metas'!M55/1000)</f>
        <v>#REF!</v>
      </c>
      <c r="P54" s="381"/>
    </row>
    <row r="55" spans="1:16" s="134" customFormat="1" ht="65.099999999999994" customHeight="1" x14ac:dyDescent="0.35">
      <c r="A55" s="412"/>
      <c r="B55" s="389" t="s">
        <v>319</v>
      </c>
      <c r="C55" s="390"/>
      <c r="D55" s="400"/>
      <c r="E55" s="406">
        <f>19482/(14873064/1000)</f>
        <v>1.309884768868069</v>
      </c>
      <c r="F55" s="384"/>
      <c r="L55" s="452"/>
      <c r="M55" s="240">
        <v>14873064</v>
      </c>
      <c r="N55" s="380"/>
      <c r="P55" s="381"/>
    </row>
    <row r="56" spans="1:16" s="134" customFormat="1" ht="65.099999999999994" hidden="1" customHeight="1" x14ac:dyDescent="0.45">
      <c r="A56" s="431" t="s">
        <v>173</v>
      </c>
      <c r="B56" s="114" t="s">
        <v>321</v>
      </c>
      <c r="C56" s="432" t="s">
        <v>127</v>
      </c>
      <c r="D56" s="436" t="s">
        <v>107</v>
      </c>
      <c r="E56" s="385"/>
      <c r="F56" s="385"/>
      <c r="L56" s="243"/>
      <c r="M56" s="237"/>
      <c r="P56" s="134">
        <f>19482/(14873064/1000)</f>
        <v>1.309884768868069</v>
      </c>
    </row>
    <row r="57" spans="1:16" ht="65.099999999999994" hidden="1" customHeight="1" x14ac:dyDescent="0.45">
      <c r="A57" s="412"/>
      <c r="B57" s="115" t="s">
        <v>322</v>
      </c>
      <c r="C57" s="433"/>
      <c r="D57" s="400"/>
      <c r="E57" s="386"/>
      <c r="F57" s="386"/>
      <c r="L57" s="243"/>
    </row>
    <row r="58" spans="1:16" s="134" customFormat="1" ht="81" customHeight="1" x14ac:dyDescent="0.45">
      <c r="A58" s="72" t="s">
        <v>46</v>
      </c>
      <c r="B58" s="391" t="s">
        <v>75</v>
      </c>
      <c r="C58" s="391"/>
      <c r="D58" s="71" t="s">
        <v>76</v>
      </c>
      <c r="E58" s="71" t="s">
        <v>314</v>
      </c>
      <c r="F58" s="71" t="s">
        <v>299</v>
      </c>
      <c r="L58" s="243"/>
      <c r="M58" s="237"/>
    </row>
    <row r="59" spans="1:16" ht="65.099999999999994" customHeight="1" x14ac:dyDescent="0.45">
      <c r="A59" s="413" t="s">
        <v>174</v>
      </c>
      <c r="B59" s="444" t="s">
        <v>178</v>
      </c>
      <c r="C59" s="444"/>
      <c r="D59" s="392" t="s">
        <v>175</v>
      </c>
      <c r="E59" s="405">
        <v>627.94169401624401</v>
      </c>
      <c r="F59" s="640">
        <v>465.8</v>
      </c>
      <c r="G59" s="134"/>
      <c r="L59" s="452" t="b">
        <f>E59='[2]Indicadores e Metas'!$F$58</f>
        <v>1</v>
      </c>
      <c r="N59" s="382">
        <v>465.760459863503</v>
      </c>
    </row>
    <row r="60" spans="1:16" ht="65.099999999999994" customHeight="1" x14ac:dyDescent="0.45">
      <c r="A60" s="413"/>
      <c r="B60" s="441" t="s">
        <v>176</v>
      </c>
      <c r="C60" s="441"/>
      <c r="D60" s="392"/>
      <c r="E60" s="406"/>
      <c r="F60" s="406"/>
      <c r="G60" s="134"/>
      <c r="L60" s="452"/>
      <c r="N60" s="382"/>
    </row>
    <row r="61" spans="1:16" ht="65.099999999999994" customHeight="1" x14ac:dyDescent="0.45">
      <c r="A61" s="413" t="s">
        <v>177</v>
      </c>
      <c r="B61" s="114" t="s">
        <v>325</v>
      </c>
      <c r="C61" s="399" t="s">
        <v>127</v>
      </c>
      <c r="D61" s="392" t="s">
        <v>175</v>
      </c>
      <c r="E61" s="442">
        <v>0.42709880061838912</v>
      </c>
      <c r="F61" s="442">
        <v>0.48</v>
      </c>
      <c r="L61" s="452" t="b">
        <f>E61='[2]Indicadores e Metas'!$F$60</f>
        <v>1</v>
      </c>
    </row>
    <row r="62" spans="1:16" ht="65.099999999999994" customHeight="1" x14ac:dyDescent="0.45">
      <c r="A62" s="413"/>
      <c r="B62" s="115" t="s">
        <v>178</v>
      </c>
      <c r="C62" s="399"/>
      <c r="D62" s="392"/>
      <c r="E62" s="443"/>
      <c r="F62" s="443"/>
      <c r="L62" s="452"/>
      <c r="N62" s="242">
        <f>'Anexo 2. Limites Estratégicos'!N7/'Anexo 1. Usos e Fontes'!F10</f>
        <v>0.48191807969512873</v>
      </c>
    </row>
    <row r="63" spans="1:16" ht="65.099999999999994" customHeight="1" x14ac:dyDescent="0.45">
      <c r="A63" s="413" t="s">
        <v>192</v>
      </c>
      <c r="B63" s="440" t="s">
        <v>326</v>
      </c>
      <c r="C63" s="440"/>
      <c r="D63" s="392" t="s">
        <v>175</v>
      </c>
      <c r="E63" s="405">
        <v>16.78</v>
      </c>
      <c r="F63" s="405">
        <v>30.71</v>
      </c>
      <c r="L63" s="381" t="b">
        <f>E63='[2]Indicadores e Metas'!$F$62</f>
        <v>1</v>
      </c>
    </row>
    <row r="64" spans="1:16" ht="65.099999999999994" customHeight="1" x14ac:dyDescent="0.45">
      <c r="A64" s="413"/>
      <c r="B64" s="441" t="s">
        <v>179</v>
      </c>
      <c r="C64" s="441"/>
      <c r="D64" s="392"/>
      <c r="E64" s="406"/>
      <c r="F64" s="406"/>
      <c r="L64" s="381"/>
    </row>
    <row r="65" spans="1:14" ht="65.099999999999994" customHeight="1" x14ac:dyDescent="0.45">
      <c r="A65" s="413" t="s">
        <v>180</v>
      </c>
      <c r="B65" s="114" t="s">
        <v>327</v>
      </c>
      <c r="C65" s="399" t="s">
        <v>127</v>
      </c>
      <c r="D65" s="392" t="s">
        <v>175</v>
      </c>
      <c r="E65" s="442">
        <v>0.21099999999999999</v>
      </c>
      <c r="F65" s="442">
        <v>0.45700000000000002</v>
      </c>
      <c r="L65" s="381" t="b">
        <f>E65='[2]Indicadores e Metas'!$F$64</f>
        <v>1</v>
      </c>
      <c r="N65" s="237"/>
    </row>
    <row r="66" spans="1:14" x14ac:dyDescent="0.45">
      <c r="A66" s="413"/>
      <c r="B66" s="115" t="s">
        <v>181</v>
      </c>
      <c r="C66" s="399"/>
      <c r="D66" s="392"/>
      <c r="E66" s="443"/>
      <c r="F66" s="443"/>
      <c r="L66" s="381"/>
      <c r="N66" s="323" t="e">
        <f>#REF!</f>
        <v>#REF!</v>
      </c>
    </row>
    <row r="67" spans="1:14" ht="65.099999999999994" customHeight="1" x14ac:dyDescent="0.45">
      <c r="A67" s="413" t="s">
        <v>182</v>
      </c>
      <c r="B67" s="114" t="s">
        <v>183</v>
      </c>
      <c r="C67" s="399" t="s">
        <v>127</v>
      </c>
      <c r="D67" s="392" t="s">
        <v>175</v>
      </c>
      <c r="E67" s="442">
        <v>0.33800000000000002</v>
      </c>
      <c r="F67" s="442">
        <v>0.58699999999999997</v>
      </c>
      <c r="L67" s="381" t="b">
        <f>E67='[2]Indicadores e Metas'!$F$66</f>
        <v>1</v>
      </c>
      <c r="N67" s="324"/>
    </row>
    <row r="68" spans="1:14" ht="63.75" customHeight="1" x14ac:dyDescent="0.45">
      <c r="A68" s="413"/>
      <c r="B68" s="115" t="s">
        <v>184</v>
      </c>
      <c r="C68" s="399"/>
      <c r="D68" s="392"/>
      <c r="E68" s="445"/>
      <c r="F68" s="445"/>
      <c r="L68" s="381"/>
      <c r="N68" s="323" t="e">
        <f>#REF!</f>
        <v>#REF!</v>
      </c>
    </row>
    <row r="69" spans="1:14" s="134" customFormat="1" ht="81" customHeight="1" x14ac:dyDescent="0.45">
      <c r="A69" s="72" t="s">
        <v>47</v>
      </c>
      <c r="B69" s="391" t="s">
        <v>75</v>
      </c>
      <c r="C69" s="391"/>
      <c r="D69" s="71" t="s">
        <v>76</v>
      </c>
      <c r="E69" s="71" t="s">
        <v>314</v>
      </c>
      <c r="F69" s="71" t="s">
        <v>299</v>
      </c>
      <c r="L69" s="237"/>
      <c r="M69" s="237"/>
    </row>
    <row r="70" spans="1:14" ht="65.099999999999994" customHeight="1" x14ac:dyDescent="0.45">
      <c r="A70" s="413" t="s">
        <v>193</v>
      </c>
      <c r="B70" s="162" t="s">
        <v>324</v>
      </c>
      <c r="C70" s="398" t="s">
        <v>127</v>
      </c>
      <c r="D70" s="392" t="s">
        <v>175</v>
      </c>
      <c r="E70" s="447">
        <v>0.7</v>
      </c>
      <c r="F70" s="447">
        <v>0.7</v>
      </c>
      <c r="L70" s="381" t="b">
        <f>E70='[2]Indicadores e Metas'!$F$69</f>
        <v>1</v>
      </c>
    </row>
    <row r="71" spans="1:14" ht="60" customHeight="1" x14ac:dyDescent="0.45">
      <c r="A71" s="413"/>
      <c r="B71" s="115" t="s">
        <v>185</v>
      </c>
      <c r="C71" s="446"/>
      <c r="D71" s="392"/>
      <c r="E71" s="448"/>
      <c r="F71" s="448"/>
      <c r="L71" s="381"/>
    </row>
    <row r="72" spans="1:14" s="134" customFormat="1" ht="81" customHeight="1" x14ac:dyDescent="0.45">
      <c r="A72" s="72" t="s">
        <v>48</v>
      </c>
      <c r="B72" s="391" t="s">
        <v>75</v>
      </c>
      <c r="C72" s="391"/>
      <c r="D72" s="71" t="s">
        <v>76</v>
      </c>
      <c r="E72" s="71" t="s">
        <v>314</v>
      </c>
      <c r="F72" s="71" t="s">
        <v>299</v>
      </c>
      <c r="L72" s="237"/>
      <c r="M72" s="237"/>
    </row>
    <row r="73" spans="1:14" ht="65.099999999999994" customHeight="1" x14ac:dyDescent="0.45">
      <c r="A73" s="413" t="s">
        <v>194</v>
      </c>
      <c r="B73" s="444" t="s">
        <v>186</v>
      </c>
      <c r="C73" s="444"/>
      <c r="D73" s="392" t="s">
        <v>106</v>
      </c>
      <c r="E73" s="383">
        <v>5</v>
      </c>
      <c r="F73" s="383">
        <v>5</v>
      </c>
      <c r="L73" s="381" t="b">
        <f>E73='[2]Indicadores e Metas'!$F$72</f>
        <v>1</v>
      </c>
    </row>
    <row r="74" spans="1:14" ht="56.25" customHeight="1" x14ac:dyDescent="0.45">
      <c r="A74" s="413"/>
      <c r="B74" s="441" t="s">
        <v>187</v>
      </c>
      <c r="C74" s="441"/>
      <c r="D74" s="392"/>
      <c r="E74" s="384"/>
      <c r="F74" s="384"/>
      <c r="L74" s="381"/>
    </row>
    <row r="86" spans="2:13" x14ac:dyDescent="0.45">
      <c r="B86"/>
      <c r="C86" s="8"/>
      <c r="D86"/>
      <c r="K86" s="237"/>
      <c r="M86"/>
    </row>
  </sheetData>
  <mergeCells count="181">
    <mergeCell ref="L73:L74"/>
    <mergeCell ref="L12:L13"/>
    <mergeCell ref="L49:L50"/>
    <mergeCell ref="L51:L52"/>
    <mergeCell ref="L54:L55"/>
    <mergeCell ref="L59:L60"/>
    <mergeCell ref="L61:L62"/>
    <mergeCell ref="L63:L64"/>
    <mergeCell ref="L65:L66"/>
    <mergeCell ref="L67:L68"/>
    <mergeCell ref="L70:L71"/>
    <mergeCell ref="L8:L9"/>
    <mergeCell ref="L14:L15"/>
    <mergeCell ref="L16:L17"/>
    <mergeCell ref="L20:L21"/>
    <mergeCell ref="L24:L25"/>
    <mergeCell ref="L26:L27"/>
    <mergeCell ref="L29:L30"/>
    <mergeCell ref="L31:L32"/>
    <mergeCell ref="L36:L37"/>
    <mergeCell ref="G11:K11"/>
    <mergeCell ref="G38:K38"/>
    <mergeCell ref="G42:K42"/>
    <mergeCell ref="B72:C72"/>
    <mergeCell ref="A73:A74"/>
    <mergeCell ref="B73:C73"/>
    <mergeCell ref="D73:D74"/>
    <mergeCell ref="E73:E74"/>
    <mergeCell ref="F73:F74"/>
    <mergeCell ref="B74:C74"/>
    <mergeCell ref="B69:C69"/>
    <mergeCell ref="A70:A71"/>
    <mergeCell ref="C70:C71"/>
    <mergeCell ref="D70:D71"/>
    <mergeCell ref="E70:E71"/>
    <mergeCell ref="F70:F71"/>
    <mergeCell ref="A65:A66"/>
    <mergeCell ref="C65:C66"/>
    <mergeCell ref="D65:D66"/>
    <mergeCell ref="E65:E66"/>
    <mergeCell ref="F65:F66"/>
    <mergeCell ref="A67:A68"/>
    <mergeCell ref="C67:C68"/>
    <mergeCell ref="D67:D68"/>
    <mergeCell ref="E67:E68"/>
    <mergeCell ref="F67:F68"/>
    <mergeCell ref="A63:A64"/>
    <mergeCell ref="B63:C63"/>
    <mergeCell ref="D63:D64"/>
    <mergeCell ref="E63:E64"/>
    <mergeCell ref="F63:F64"/>
    <mergeCell ref="B64:C64"/>
    <mergeCell ref="F59:F60"/>
    <mergeCell ref="B60:C60"/>
    <mergeCell ref="A61:A62"/>
    <mergeCell ref="C61:C62"/>
    <mergeCell ref="D61:D62"/>
    <mergeCell ref="E61:E62"/>
    <mergeCell ref="F61:F62"/>
    <mergeCell ref="A59:A60"/>
    <mergeCell ref="B59:C59"/>
    <mergeCell ref="D59:D60"/>
    <mergeCell ref="E59:E60"/>
    <mergeCell ref="A49:A50"/>
    <mergeCell ref="C49:C50"/>
    <mergeCell ref="D49:D50"/>
    <mergeCell ref="E49:E50"/>
    <mergeCell ref="A56:A57"/>
    <mergeCell ref="A54:A55"/>
    <mergeCell ref="C56:C57"/>
    <mergeCell ref="B54:C54"/>
    <mergeCell ref="B55:C55"/>
    <mergeCell ref="D54:D55"/>
    <mergeCell ref="D56:D57"/>
    <mergeCell ref="E54:E55"/>
    <mergeCell ref="A51:A52"/>
    <mergeCell ref="C51:C52"/>
    <mergeCell ref="D51:D52"/>
    <mergeCell ref="E51:E52"/>
    <mergeCell ref="A46:A47"/>
    <mergeCell ref="C46:C47"/>
    <mergeCell ref="D46:D47"/>
    <mergeCell ref="E46:E47"/>
    <mergeCell ref="F46:F47"/>
    <mergeCell ref="B48:C48"/>
    <mergeCell ref="A44:A45"/>
    <mergeCell ref="C44:C45"/>
    <mergeCell ref="D44:D45"/>
    <mergeCell ref="E44:E45"/>
    <mergeCell ref="F44:F45"/>
    <mergeCell ref="B42:C42"/>
    <mergeCell ref="A39:A40"/>
    <mergeCell ref="C39:C40"/>
    <mergeCell ref="D39:D40"/>
    <mergeCell ref="E39:E40"/>
    <mergeCell ref="F39:F40"/>
    <mergeCell ref="A34:A35"/>
    <mergeCell ref="C34:C35"/>
    <mergeCell ref="D34:D35"/>
    <mergeCell ref="E34:E35"/>
    <mergeCell ref="F34:F35"/>
    <mergeCell ref="A36:A37"/>
    <mergeCell ref="C36:C37"/>
    <mergeCell ref="D36:D37"/>
    <mergeCell ref="E36:E37"/>
    <mergeCell ref="F36:F37"/>
    <mergeCell ref="A26:A27"/>
    <mergeCell ref="C26:C27"/>
    <mergeCell ref="D26:D27"/>
    <mergeCell ref="E26:E27"/>
    <mergeCell ref="F26:F27"/>
    <mergeCell ref="A31:A32"/>
    <mergeCell ref="C31:C32"/>
    <mergeCell ref="D31:D32"/>
    <mergeCell ref="E31:E32"/>
    <mergeCell ref="F31:F32"/>
    <mergeCell ref="B28:C28"/>
    <mergeCell ref="A29:A30"/>
    <mergeCell ref="C29:C30"/>
    <mergeCell ref="D29:D30"/>
    <mergeCell ref="E29:E30"/>
    <mergeCell ref="F29:F30"/>
    <mergeCell ref="A20:A21"/>
    <mergeCell ref="C20:C21"/>
    <mergeCell ref="D20:D21"/>
    <mergeCell ref="E20:E21"/>
    <mergeCell ref="F20:F21"/>
    <mergeCell ref="A24:A25"/>
    <mergeCell ref="C24:C25"/>
    <mergeCell ref="D24:D25"/>
    <mergeCell ref="E24:E25"/>
    <mergeCell ref="F24:F25"/>
    <mergeCell ref="A16:A17"/>
    <mergeCell ref="D16:D17"/>
    <mergeCell ref="E16:E17"/>
    <mergeCell ref="F16:F17"/>
    <mergeCell ref="A2:F2"/>
    <mergeCell ref="A3:F3"/>
    <mergeCell ref="A4:F4"/>
    <mergeCell ref="A6:F6"/>
    <mergeCell ref="B7:C7"/>
    <mergeCell ref="A8:A9"/>
    <mergeCell ref="C8:C9"/>
    <mergeCell ref="D8:D9"/>
    <mergeCell ref="E8:E9"/>
    <mergeCell ref="F8:F9"/>
    <mergeCell ref="A18:A19"/>
    <mergeCell ref="C18:C19"/>
    <mergeCell ref="D18:D19"/>
    <mergeCell ref="E18:E19"/>
    <mergeCell ref="F18:F19"/>
    <mergeCell ref="A10:F10"/>
    <mergeCell ref="B11:C11"/>
    <mergeCell ref="A12:A13"/>
    <mergeCell ref="C12:C13"/>
    <mergeCell ref="D12:D13"/>
    <mergeCell ref="E12:E13"/>
    <mergeCell ref="F12:F13"/>
    <mergeCell ref="A14:A15"/>
    <mergeCell ref="C14:C15"/>
    <mergeCell ref="D14:D15"/>
    <mergeCell ref="E14:E15"/>
    <mergeCell ref="F14:F15"/>
    <mergeCell ref="N29:N30"/>
    <mergeCell ref="M29:M30"/>
    <mergeCell ref="N54:N55"/>
    <mergeCell ref="P54:P55"/>
    <mergeCell ref="N59:N60"/>
    <mergeCell ref="F54:F55"/>
    <mergeCell ref="E56:E57"/>
    <mergeCell ref="F56:F57"/>
    <mergeCell ref="B16:C16"/>
    <mergeCell ref="B17:C17"/>
    <mergeCell ref="B23:C23"/>
    <mergeCell ref="B33:C33"/>
    <mergeCell ref="B38:C38"/>
    <mergeCell ref="B43:C43"/>
    <mergeCell ref="F49:F50"/>
    <mergeCell ref="B53:C53"/>
    <mergeCell ref="B58:C58"/>
    <mergeCell ref="F51:F52"/>
  </mergeCells>
  <pageMargins left="0.511811024" right="0.511811024" top="0.78740157499999996" bottom="0.78740157499999996" header="0.31496062000000002" footer="0.31496062000000002"/>
  <pageSetup paperSize="9" scale="18" orientation="portrait" r:id="rId1"/>
  <colBreaks count="1" manualBreakCount="1">
    <brk id="6" max="1048575" man="1"/>
  </colBreak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5:BA84"/>
  <sheetViews>
    <sheetView showGridLines="0" topLeftCell="A24" zoomScale="40" zoomScaleNormal="40" zoomScaleSheetLayoutView="80" workbookViewId="0">
      <selection activeCell="G25" sqref="G25:J25"/>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27.7109375" style="1" bestFit="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448</v>
      </c>
      <c r="H8" s="570"/>
      <c r="I8" s="570"/>
      <c r="J8" s="570"/>
      <c r="K8" s="570"/>
      <c r="L8" s="570"/>
      <c r="M8" s="570"/>
      <c r="N8" s="570"/>
      <c r="O8" s="570"/>
      <c r="P8" s="571"/>
      <c r="Q8" s="307" t="b">
        <f>G8='Quadro Geral'!E25</f>
        <v>1</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640</v>
      </c>
      <c r="H9" s="570"/>
      <c r="I9" s="570"/>
      <c r="J9" s="570"/>
      <c r="K9" s="570"/>
      <c r="L9" s="570"/>
      <c r="M9" s="570"/>
      <c r="N9" s="570"/>
      <c r="O9" s="570"/>
      <c r="P9" s="571"/>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219" t="s">
        <v>289</v>
      </c>
      <c r="D13" s="220" t="s">
        <v>288</v>
      </c>
      <c r="E13" s="130" t="s">
        <v>217</v>
      </c>
      <c r="F13" s="582"/>
      <c r="G13" s="582"/>
      <c r="H13" s="219" t="s">
        <v>373</v>
      </c>
      <c r="I13" s="219" t="s">
        <v>374</v>
      </c>
      <c r="J13" s="219"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183.75" x14ac:dyDescent="0.5">
      <c r="A15" s="590" t="s">
        <v>514</v>
      </c>
      <c r="B15" s="591"/>
      <c r="C15" s="201">
        <v>1</v>
      </c>
      <c r="D15" s="201" t="s">
        <v>695</v>
      </c>
      <c r="E15" s="61" t="s">
        <v>241</v>
      </c>
      <c r="F15" s="201" t="s">
        <v>696</v>
      </c>
      <c r="G15" s="231">
        <v>55000</v>
      </c>
      <c r="H15" s="231">
        <v>0</v>
      </c>
      <c r="I15" s="231">
        <v>40000</v>
      </c>
      <c r="J15" s="231">
        <f>H15+I15</f>
        <v>40000</v>
      </c>
      <c r="K15" s="151">
        <f>J15-G15</f>
        <v>-15000</v>
      </c>
      <c r="L15" s="152">
        <f>IFERROR(K15/G15*100,0)</f>
        <v>-27.27272727272727</v>
      </c>
      <c r="M15" s="152" t="s">
        <v>371</v>
      </c>
      <c r="N15" s="153"/>
      <c r="O15" s="154">
        <f>IFERROR(N15/J15*100,)</f>
        <v>0</v>
      </c>
      <c r="P15" s="155" t="s">
        <v>547</v>
      </c>
      <c r="Z15" s="3"/>
      <c r="AA15" s="118"/>
      <c r="AB15" s="116"/>
      <c r="AC15" s="116"/>
      <c r="AD15" s="116"/>
      <c r="AE15" s="116"/>
      <c r="AF15" s="116"/>
      <c r="AG15" s="3"/>
      <c r="AH15" s="3"/>
      <c r="AI15" s="3"/>
      <c r="AJ15" s="3"/>
      <c r="AZ15" s="188"/>
      <c r="BA15" s="188" t="s">
        <v>213</v>
      </c>
    </row>
    <row r="16" spans="1:53" ht="33.75" hidden="1" x14ac:dyDescent="0.5">
      <c r="A16" s="590"/>
      <c r="B16" s="591"/>
      <c r="C16" s="204"/>
      <c r="D16" s="201"/>
      <c r="E16" s="61"/>
      <c r="F16" s="61"/>
      <c r="G16" s="231"/>
      <c r="H16" s="231"/>
      <c r="I16" s="231"/>
      <c r="J16" s="231">
        <f t="shared" ref="J16:J23" si="1">H16+I16</f>
        <v>0</v>
      </c>
      <c r="K16" s="151">
        <f t="shared" ref="K16:K22" si="2">J16-G16</f>
        <v>0</v>
      </c>
      <c r="L16" s="152">
        <f t="shared" ref="L16:L24" si="3">IFERROR(K16/G16*100,0)</f>
        <v>0</v>
      </c>
      <c r="M16" s="152" t="s">
        <v>371</v>
      </c>
      <c r="N16" s="153"/>
      <c r="O16" s="154">
        <f t="shared" ref="O16:O24" si="4">IFERROR(N16/J16*100,)</f>
        <v>0</v>
      </c>
      <c r="P16" s="155"/>
      <c r="Z16" s="3"/>
      <c r="AA16" s="118"/>
      <c r="AB16" s="116"/>
      <c r="AC16" s="116"/>
      <c r="AD16" s="116"/>
      <c r="AE16" s="116"/>
      <c r="AF16" s="116"/>
      <c r="AG16" s="3"/>
      <c r="AH16" s="3"/>
      <c r="AI16" s="3"/>
      <c r="AJ16" s="3"/>
      <c r="AZ16" s="188"/>
      <c r="BA16" s="188" t="s">
        <v>371</v>
      </c>
    </row>
    <row r="17" spans="1:36" ht="28.5" hidden="1" x14ac:dyDescent="0.4">
      <c r="A17" s="590"/>
      <c r="B17" s="591"/>
      <c r="C17" s="204"/>
      <c r="D17" s="201"/>
      <c r="E17" s="61"/>
      <c r="F17" s="61"/>
      <c r="G17" s="231"/>
      <c r="H17" s="231"/>
      <c r="I17" s="231"/>
      <c r="J17" s="231">
        <f t="shared" si="1"/>
        <v>0</v>
      </c>
      <c r="K17" s="151">
        <f t="shared" si="2"/>
        <v>0</v>
      </c>
      <c r="L17" s="152">
        <f t="shared" si="3"/>
        <v>0</v>
      </c>
      <c r="M17" s="152" t="s">
        <v>371</v>
      </c>
      <c r="N17" s="153"/>
      <c r="O17" s="154">
        <f t="shared" si="4"/>
        <v>0</v>
      </c>
      <c r="P17" s="155"/>
      <c r="Z17" s="3"/>
      <c r="AA17" s="118"/>
      <c r="AB17" s="116"/>
      <c r="AC17" s="116"/>
      <c r="AD17" s="116"/>
      <c r="AE17" s="116"/>
      <c r="AF17" s="116"/>
      <c r="AG17" s="3"/>
      <c r="AH17" s="3"/>
      <c r="AI17" s="3"/>
      <c r="AJ17" s="3"/>
    </row>
    <row r="18" spans="1:36" ht="28.5" hidden="1" x14ac:dyDescent="0.4">
      <c r="A18" s="590"/>
      <c r="B18" s="591"/>
      <c r="C18" s="200"/>
      <c r="D18" s="61"/>
      <c r="E18" s="61"/>
      <c r="F18" s="61"/>
      <c r="G18" s="232"/>
      <c r="H18" s="231"/>
      <c r="I18" s="231"/>
      <c r="J18" s="231">
        <f t="shared" si="1"/>
        <v>0</v>
      </c>
      <c r="K18" s="151">
        <f t="shared" si="2"/>
        <v>0</v>
      </c>
      <c r="L18" s="152">
        <f t="shared" si="3"/>
        <v>0</v>
      </c>
      <c r="M18" s="152"/>
      <c r="N18" s="153"/>
      <c r="O18" s="154">
        <f t="shared" si="4"/>
        <v>0</v>
      </c>
      <c r="P18" s="155"/>
      <c r="Z18" s="3"/>
      <c r="AA18" s="118"/>
      <c r="AB18" s="116"/>
      <c r="AC18" s="116"/>
      <c r="AD18" s="116"/>
      <c r="AE18" s="116"/>
      <c r="AF18" s="116"/>
      <c r="AG18" s="3"/>
      <c r="AH18" s="3"/>
      <c r="AI18" s="3"/>
      <c r="AJ18" s="3"/>
    </row>
    <row r="19" spans="1:36" ht="28.5" hidden="1" x14ac:dyDescent="0.25">
      <c r="A19" s="590"/>
      <c r="B19" s="591"/>
      <c r="C19" s="200"/>
      <c r="D19" s="61"/>
      <c r="E19" s="61"/>
      <c r="F19" s="61"/>
      <c r="G19" s="233"/>
      <c r="H19" s="231"/>
      <c r="I19" s="231"/>
      <c r="J19" s="231">
        <f t="shared" si="1"/>
        <v>0</v>
      </c>
      <c r="K19" s="151">
        <f t="shared" si="2"/>
        <v>0</v>
      </c>
      <c r="L19" s="152">
        <f t="shared" si="3"/>
        <v>0</v>
      </c>
      <c r="M19" s="152"/>
      <c r="N19" s="153"/>
      <c r="O19" s="154">
        <f t="shared" si="4"/>
        <v>0</v>
      </c>
      <c r="P19" s="155"/>
      <c r="Z19" s="3"/>
      <c r="AA19" s="3"/>
      <c r="AB19" s="3"/>
      <c r="AC19" s="3"/>
      <c r="AD19" s="3"/>
      <c r="AE19" s="3"/>
      <c r="AF19" s="3"/>
      <c r="AG19" s="3"/>
      <c r="AH19" s="3"/>
      <c r="AI19" s="3"/>
      <c r="AJ19" s="3"/>
    </row>
    <row r="20" spans="1:36" ht="55.5" hidden="1" customHeight="1" x14ac:dyDescent="0.25">
      <c r="A20" s="590"/>
      <c r="B20" s="591"/>
      <c r="C20" s="61"/>
      <c r="D20" s="61"/>
      <c r="E20" s="61"/>
      <c r="F20" s="61"/>
      <c r="G20" s="231"/>
      <c r="H20" s="231"/>
      <c r="I20" s="231"/>
      <c r="J20" s="231">
        <f t="shared" si="1"/>
        <v>0</v>
      </c>
      <c r="K20" s="151">
        <f t="shared" si="2"/>
        <v>0</v>
      </c>
      <c r="L20" s="152">
        <f t="shared" si="3"/>
        <v>0</v>
      </c>
      <c r="M20" s="152"/>
      <c r="N20" s="153"/>
      <c r="O20" s="154">
        <f t="shared" si="4"/>
        <v>0</v>
      </c>
      <c r="P20" s="155"/>
      <c r="Z20" s="3"/>
      <c r="AA20" s="3"/>
      <c r="AB20" s="3"/>
      <c r="AC20" s="3"/>
      <c r="AD20" s="3"/>
      <c r="AE20" s="3"/>
      <c r="AF20" s="3"/>
      <c r="AG20" s="3"/>
      <c r="AH20" s="3"/>
      <c r="AI20" s="3"/>
      <c r="AJ20" s="3"/>
    </row>
    <row r="21" spans="1:36" ht="55.5" hidden="1" customHeight="1" x14ac:dyDescent="0.25">
      <c r="A21" s="590"/>
      <c r="B21" s="591"/>
      <c r="C21" s="61"/>
      <c r="D21" s="61"/>
      <c r="E21" s="61"/>
      <c r="F21" s="61"/>
      <c r="G21" s="231"/>
      <c r="H21" s="231"/>
      <c r="I21" s="231"/>
      <c r="J21" s="231">
        <f t="shared" si="1"/>
        <v>0</v>
      </c>
      <c r="K21" s="151">
        <f t="shared" si="2"/>
        <v>0</v>
      </c>
      <c r="L21" s="152">
        <f t="shared" si="3"/>
        <v>0</v>
      </c>
      <c r="M21" s="152"/>
      <c r="N21" s="153"/>
      <c r="O21" s="154">
        <f t="shared" si="4"/>
        <v>0</v>
      </c>
      <c r="P21" s="155"/>
      <c r="AA21" s="178"/>
    </row>
    <row r="22" spans="1:36" ht="55.5" hidden="1" customHeight="1" x14ac:dyDescent="0.25">
      <c r="A22" s="590"/>
      <c r="B22" s="591"/>
      <c r="C22" s="61"/>
      <c r="D22" s="61"/>
      <c r="E22" s="61"/>
      <c r="F22" s="61"/>
      <c r="G22" s="231"/>
      <c r="H22" s="231"/>
      <c r="I22" s="231"/>
      <c r="J22" s="231">
        <f t="shared" si="1"/>
        <v>0</v>
      </c>
      <c r="K22" s="151">
        <f t="shared" si="2"/>
        <v>0</v>
      </c>
      <c r="L22" s="152">
        <f t="shared" si="3"/>
        <v>0</v>
      </c>
      <c r="M22" s="152"/>
      <c r="N22" s="153"/>
      <c r="O22" s="154">
        <f t="shared" si="4"/>
        <v>0</v>
      </c>
      <c r="P22" s="155"/>
    </row>
    <row r="23" spans="1:36" ht="55.5" hidden="1" customHeight="1" x14ac:dyDescent="0.25">
      <c r="A23" s="590"/>
      <c r="B23" s="591"/>
      <c r="C23" s="61"/>
      <c r="D23" s="61"/>
      <c r="E23" s="61"/>
      <c r="F23" s="61"/>
      <c r="G23" s="231"/>
      <c r="H23" s="231"/>
      <c r="I23" s="231"/>
      <c r="J23" s="231">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234">
        <f>SUM(G14:G23)</f>
        <v>55000</v>
      </c>
      <c r="H24" s="234">
        <f>SUM(H14:H23)</f>
        <v>0</v>
      </c>
      <c r="I24" s="234">
        <f>SUM(I14:I23)</f>
        <v>40000</v>
      </c>
      <c r="J24" s="234">
        <f>SUM(J14:J23)</f>
        <v>40000</v>
      </c>
      <c r="K24" s="156">
        <f>J24-G24</f>
        <v>-15000</v>
      </c>
      <c r="L24" s="156">
        <f t="shared" si="3"/>
        <v>-27.27272727272727</v>
      </c>
      <c r="M24" s="156"/>
      <c r="N24" s="157">
        <f>SUM(N14:N23)</f>
        <v>0</v>
      </c>
      <c r="O24" s="156">
        <f t="shared" si="4"/>
        <v>0</v>
      </c>
      <c r="P24" s="158"/>
    </row>
    <row r="25" spans="1:36" x14ac:dyDescent="0.4">
      <c r="A25" s="306" t="s">
        <v>296</v>
      </c>
      <c r="B25" s="306"/>
      <c r="C25" s="306"/>
      <c r="D25" s="306"/>
      <c r="E25" s="306"/>
      <c r="F25" s="306"/>
      <c r="G25" s="306" t="b">
        <f>G24=G26</f>
        <v>1</v>
      </c>
      <c r="H25" s="306" t="b">
        <f t="shared" ref="H25:J25" si="5">H24=H26</f>
        <v>1</v>
      </c>
      <c r="I25" s="306" t="b">
        <f t="shared" si="5"/>
        <v>1</v>
      </c>
      <c r="J25" s="306" t="b">
        <f t="shared" si="5"/>
        <v>1</v>
      </c>
      <c r="K25" s="306"/>
      <c r="L25" s="306"/>
      <c r="M25" s="306"/>
      <c r="N25" s="306"/>
      <c r="O25" s="306"/>
      <c r="P25" s="306"/>
    </row>
    <row r="26" spans="1:36" x14ac:dyDescent="0.4">
      <c r="A26" s="221"/>
      <c r="B26" s="221"/>
      <c r="C26" s="221"/>
      <c r="D26" s="221"/>
      <c r="E26" s="221"/>
      <c r="F26" s="221"/>
      <c r="G26" s="318">
        <f>'Quadro Geral'!J25</f>
        <v>55000</v>
      </c>
      <c r="H26" s="236">
        <f>'Quadro Geral'!K25</f>
        <v>0</v>
      </c>
      <c r="I26" s="236">
        <f>'Quadro Geral'!L25</f>
        <v>40000</v>
      </c>
      <c r="J26" s="236">
        <f>'Quadro Geral'!M25</f>
        <v>40000</v>
      </c>
      <c r="K26" s="221"/>
      <c r="L26" s="221"/>
      <c r="M26" s="221"/>
      <c r="N26" s="221"/>
      <c r="O26" s="221"/>
      <c r="P26" s="221"/>
    </row>
    <row r="27" spans="1:36" ht="36" customHeight="1" x14ac:dyDescent="0.25">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t="15" hidden="1" x14ac:dyDescent="0.25">
      <c r="A36" s="598" t="s">
        <v>387</v>
      </c>
      <c r="B36" s="599"/>
      <c r="C36" s="599"/>
      <c r="D36" s="599"/>
      <c r="E36" s="599"/>
      <c r="F36" s="599"/>
      <c r="G36" s="599"/>
      <c r="H36" s="599"/>
      <c r="I36" s="599"/>
      <c r="J36" s="599"/>
      <c r="K36" s="599"/>
      <c r="L36" s="599"/>
      <c r="M36" s="599"/>
      <c r="N36" s="599"/>
      <c r="O36" s="599"/>
      <c r="P36" s="600"/>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1.5"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374.25" customHeight="1" thickBot="1" x14ac:dyDescent="0.3">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1">
    <mergeCell ref="A6:P6"/>
    <mergeCell ref="A7:P7"/>
    <mergeCell ref="A8:F8"/>
    <mergeCell ref="G8:P8"/>
    <mergeCell ref="A9:F9"/>
    <mergeCell ref="G9:P9"/>
    <mergeCell ref="A24:F24"/>
    <mergeCell ref="P11:P13"/>
    <mergeCell ref="C12:E12"/>
    <mergeCell ref="F12:F13"/>
    <mergeCell ref="G12:G13"/>
    <mergeCell ref="H12:J12"/>
    <mergeCell ref="K12:K13"/>
    <mergeCell ref="L12:L13"/>
    <mergeCell ref="N12:N13"/>
    <mergeCell ref="O12:O13"/>
    <mergeCell ref="N11:O11"/>
    <mergeCell ref="A11:B13"/>
    <mergeCell ref="C11:F11"/>
    <mergeCell ref="G11:J11"/>
    <mergeCell ref="K11:L11"/>
    <mergeCell ref="M11:M13"/>
    <mergeCell ref="A19:B19"/>
    <mergeCell ref="A20:B20"/>
    <mergeCell ref="A21:B21"/>
    <mergeCell ref="A22:B22"/>
    <mergeCell ref="A23:B23"/>
    <mergeCell ref="Q14:W14"/>
    <mergeCell ref="A15:B15"/>
    <mergeCell ref="A16:B16"/>
    <mergeCell ref="A17:B17"/>
    <mergeCell ref="A18:B18"/>
    <mergeCell ref="C33:F33"/>
    <mergeCell ref="A35:P35"/>
    <mergeCell ref="A36:P84"/>
    <mergeCell ref="A27:P27"/>
    <mergeCell ref="A28:P28"/>
    <mergeCell ref="A29:F29"/>
    <mergeCell ref="C30:F30"/>
    <mergeCell ref="C31:F31"/>
    <mergeCell ref="C32:F32"/>
  </mergeCells>
  <dataValidations count="2">
    <dataValidation type="list" allowBlank="1" showInputMessage="1" showErrorMessage="1" sqref="BA13:BA15">
      <formula1>$BA$13:$BA$15</formula1>
    </dataValidation>
    <dataValidation type="list" allowBlank="1" showInputMessage="1" showErrorMessage="1" sqref="M15:M23">
      <formula1>$BA$13:$BA$16</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'AÇÕES ESTRATÉGICAS - DESCRIÇÃO '!$C$2:$C$22</xm:f>
          </x14:formula1>
          <xm:sqref>E20:E23</xm:sqref>
        </x14:dataValidation>
        <x14:dataValidation type="list" allowBlank="1" showInputMessage="1" showErrorMessage="1">
          <x14:formula1>
            <xm:f>[3]Resumo!#REF!</xm:f>
          </x14:formula1>
          <xm:sqref>E19</xm:sqref>
        </x14:dataValidation>
        <x14:dataValidation type="list" allowBlank="1" showInputMessage="1" showErrorMessage="1">
          <x14:formula1>
            <xm:f>'[3]Ações Estratégicas - Descrição'!#REF!</xm:f>
          </x14:formula1>
          <xm:sqref>E16:E18</xm:sqref>
        </x14:dataValidation>
        <x14:dataValidation type="list" allowBlank="1" showInputMessage="1" showErrorMessage="1">
          <x14:formula1>
            <xm:f>'[4]Ações Estratégicas - Descrição'!#REF!</xm:f>
          </x14:formula1>
          <xm:sqref>E15</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5:BA84"/>
  <sheetViews>
    <sheetView showGridLines="0" topLeftCell="A7" zoomScale="40" zoomScaleNormal="40" zoomScaleSheetLayoutView="80" workbookViewId="0">
      <selection activeCell="A25" sqref="A25:P25"/>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27.7109375" style="1" bestFit="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446</v>
      </c>
      <c r="H8" s="570"/>
      <c r="I8" s="570"/>
      <c r="J8" s="570"/>
      <c r="K8" s="570"/>
      <c r="L8" s="570"/>
      <c r="M8" s="570"/>
      <c r="N8" s="570"/>
      <c r="O8" s="570"/>
      <c r="P8" s="571"/>
      <c r="Q8" s="307" t="b">
        <f>G8='Quadro Geral'!E24</f>
        <v>1</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640</v>
      </c>
      <c r="H9" s="570"/>
      <c r="I9" s="570"/>
      <c r="J9" s="570"/>
      <c r="K9" s="570"/>
      <c r="L9" s="570"/>
      <c r="M9" s="570"/>
      <c r="N9" s="570"/>
      <c r="O9" s="570"/>
      <c r="P9" s="571"/>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219" t="s">
        <v>289</v>
      </c>
      <c r="D13" s="220" t="s">
        <v>288</v>
      </c>
      <c r="E13" s="130" t="s">
        <v>217</v>
      </c>
      <c r="F13" s="582"/>
      <c r="G13" s="582"/>
      <c r="H13" s="219" t="s">
        <v>373</v>
      </c>
      <c r="I13" s="219" t="s">
        <v>374</v>
      </c>
      <c r="J13" s="219"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78.75" x14ac:dyDescent="0.5">
      <c r="A15" s="590" t="s">
        <v>514</v>
      </c>
      <c r="B15" s="591"/>
      <c r="C15" s="201">
        <v>1</v>
      </c>
      <c r="D15" s="201" t="s">
        <v>693</v>
      </c>
      <c r="E15" s="61" t="s">
        <v>281</v>
      </c>
      <c r="F15" s="61" t="s">
        <v>694</v>
      </c>
      <c r="G15" s="312">
        <v>195000</v>
      </c>
      <c r="H15" s="312">
        <v>0</v>
      </c>
      <c r="I15" s="312">
        <v>40000</v>
      </c>
      <c r="J15" s="312">
        <f>H15+I15</f>
        <v>40000</v>
      </c>
      <c r="K15" s="151">
        <f>J15-G15</f>
        <v>-155000</v>
      </c>
      <c r="L15" s="152">
        <f>IFERROR(K15/G15*100,0)</f>
        <v>-79.487179487179489</v>
      </c>
      <c r="M15" s="152" t="s">
        <v>371</v>
      </c>
      <c r="N15" s="153"/>
      <c r="O15" s="154">
        <f>IFERROR(N15/J15*100,)</f>
        <v>0</v>
      </c>
      <c r="P15" s="155" t="s">
        <v>546</v>
      </c>
      <c r="Z15" s="3"/>
      <c r="AA15" s="118"/>
      <c r="AB15" s="116"/>
      <c r="AC15" s="116"/>
      <c r="AD15" s="116"/>
      <c r="AE15" s="116"/>
      <c r="AF15" s="116"/>
      <c r="AG15" s="3"/>
      <c r="AH15" s="3"/>
      <c r="AI15" s="3"/>
      <c r="AJ15" s="3"/>
      <c r="AZ15" s="188"/>
      <c r="BA15" s="188" t="s">
        <v>213</v>
      </c>
    </row>
    <row r="16" spans="1:53" ht="33.75" hidden="1" x14ac:dyDescent="0.5">
      <c r="A16" s="590"/>
      <c r="B16" s="591"/>
      <c r="C16" s="204"/>
      <c r="D16" s="201"/>
      <c r="E16" s="61"/>
      <c r="F16" s="61"/>
      <c r="G16" s="312"/>
      <c r="H16" s="312"/>
      <c r="I16" s="312"/>
      <c r="J16" s="312">
        <f t="shared" ref="J16:J23" si="1">H16+I16</f>
        <v>0</v>
      </c>
      <c r="K16" s="151">
        <f t="shared" ref="K16:K22" si="2">J16-G16</f>
        <v>0</v>
      </c>
      <c r="L16" s="152">
        <f t="shared" ref="L16:L24" si="3">IFERROR(K16/G16*100,0)</f>
        <v>0</v>
      </c>
      <c r="M16" s="152" t="s">
        <v>371</v>
      </c>
      <c r="N16" s="153"/>
      <c r="O16" s="154">
        <f t="shared" ref="O16:O24" si="4">IFERROR(N16/J16*100,)</f>
        <v>0</v>
      </c>
      <c r="P16" s="155"/>
      <c r="Z16" s="3"/>
      <c r="AA16" s="118"/>
      <c r="AB16" s="116"/>
      <c r="AC16" s="116"/>
      <c r="AD16" s="116"/>
      <c r="AE16" s="116"/>
      <c r="AF16" s="116"/>
      <c r="AG16" s="3"/>
      <c r="AH16" s="3"/>
      <c r="AI16" s="3"/>
      <c r="AJ16" s="3"/>
      <c r="AZ16" s="188"/>
      <c r="BA16" s="188" t="s">
        <v>371</v>
      </c>
    </row>
    <row r="17" spans="1:36" ht="28.5" hidden="1" x14ac:dyDescent="0.4">
      <c r="A17" s="590"/>
      <c r="B17" s="591"/>
      <c r="C17" s="204"/>
      <c r="D17" s="201"/>
      <c r="E17" s="61"/>
      <c r="F17" s="61"/>
      <c r="G17" s="312"/>
      <c r="H17" s="312"/>
      <c r="I17" s="312"/>
      <c r="J17" s="312">
        <f t="shared" si="1"/>
        <v>0</v>
      </c>
      <c r="K17" s="151">
        <f t="shared" si="2"/>
        <v>0</v>
      </c>
      <c r="L17" s="152">
        <f t="shared" si="3"/>
        <v>0</v>
      </c>
      <c r="M17" s="152" t="s">
        <v>371</v>
      </c>
      <c r="N17" s="153"/>
      <c r="O17" s="154">
        <f t="shared" si="4"/>
        <v>0</v>
      </c>
      <c r="P17" s="155"/>
      <c r="Z17" s="3"/>
      <c r="AA17" s="118"/>
      <c r="AB17" s="116"/>
      <c r="AC17" s="116"/>
      <c r="AD17" s="116"/>
      <c r="AE17" s="116"/>
      <c r="AF17" s="116"/>
      <c r="AG17" s="3"/>
      <c r="AH17" s="3"/>
      <c r="AI17" s="3"/>
      <c r="AJ17" s="3"/>
    </row>
    <row r="18" spans="1:36" ht="28.5" hidden="1" x14ac:dyDescent="0.4">
      <c r="A18" s="590"/>
      <c r="B18" s="591"/>
      <c r="C18" s="200"/>
      <c r="D18" s="61"/>
      <c r="E18" s="61"/>
      <c r="F18" s="61"/>
      <c r="G18" s="202"/>
      <c r="H18" s="312"/>
      <c r="I18" s="312"/>
      <c r="J18" s="312">
        <f t="shared" si="1"/>
        <v>0</v>
      </c>
      <c r="K18" s="151">
        <f t="shared" si="2"/>
        <v>0</v>
      </c>
      <c r="L18" s="152">
        <f t="shared" si="3"/>
        <v>0</v>
      </c>
      <c r="M18" s="152"/>
      <c r="N18" s="153"/>
      <c r="O18" s="154">
        <f t="shared" si="4"/>
        <v>0</v>
      </c>
      <c r="P18" s="155"/>
      <c r="Z18" s="3"/>
      <c r="AA18" s="118"/>
      <c r="AB18" s="116"/>
      <c r="AC18" s="116"/>
      <c r="AD18" s="116"/>
      <c r="AE18" s="116"/>
      <c r="AF18" s="116"/>
      <c r="AG18" s="3"/>
      <c r="AH18" s="3"/>
      <c r="AI18" s="3"/>
      <c r="AJ18" s="3"/>
    </row>
    <row r="19" spans="1:36" ht="28.5" hidden="1" x14ac:dyDescent="0.25">
      <c r="A19" s="590"/>
      <c r="B19" s="591"/>
      <c r="C19" s="200"/>
      <c r="D19" s="61"/>
      <c r="E19" s="61"/>
      <c r="F19" s="61"/>
      <c r="G19" s="203"/>
      <c r="H19" s="312"/>
      <c r="I19" s="312"/>
      <c r="J19" s="312">
        <f t="shared" si="1"/>
        <v>0</v>
      </c>
      <c r="K19" s="151">
        <f t="shared" si="2"/>
        <v>0</v>
      </c>
      <c r="L19" s="152">
        <f t="shared" si="3"/>
        <v>0</v>
      </c>
      <c r="M19" s="152"/>
      <c r="N19" s="153"/>
      <c r="O19" s="154">
        <f t="shared" si="4"/>
        <v>0</v>
      </c>
      <c r="P19" s="155"/>
      <c r="Z19" s="3"/>
      <c r="AA19" s="3"/>
      <c r="AB19" s="3"/>
      <c r="AC19" s="3"/>
      <c r="AD19" s="3"/>
      <c r="AE19" s="3"/>
      <c r="AF19" s="3"/>
      <c r="AG19" s="3"/>
      <c r="AH19" s="3"/>
      <c r="AI19" s="3"/>
      <c r="AJ19" s="3"/>
    </row>
    <row r="20" spans="1:36" ht="55.5" hidden="1" customHeight="1" x14ac:dyDescent="0.25">
      <c r="A20" s="590"/>
      <c r="B20" s="591"/>
      <c r="C20" s="61"/>
      <c r="D20" s="61"/>
      <c r="E20" s="61"/>
      <c r="F20" s="61"/>
      <c r="G20" s="312"/>
      <c r="H20" s="312"/>
      <c r="I20" s="312"/>
      <c r="J20" s="312">
        <f t="shared" si="1"/>
        <v>0</v>
      </c>
      <c r="K20" s="151">
        <f t="shared" si="2"/>
        <v>0</v>
      </c>
      <c r="L20" s="152">
        <f t="shared" si="3"/>
        <v>0</v>
      </c>
      <c r="M20" s="152"/>
      <c r="N20" s="153"/>
      <c r="O20" s="154">
        <f t="shared" si="4"/>
        <v>0</v>
      </c>
      <c r="P20" s="155"/>
      <c r="Z20" s="3"/>
      <c r="AA20" s="3"/>
      <c r="AB20" s="3"/>
      <c r="AC20" s="3"/>
      <c r="AD20" s="3"/>
      <c r="AE20" s="3"/>
      <c r="AF20" s="3"/>
      <c r="AG20" s="3"/>
      <c r="AH20" s="3"/>
      <c r="AI20" s="3"/>
      <c r="AJ20" s="3"/>
    </row>
    <row r="21" spans="1:36" ht="55.5" hidden="1" customHeight="1" x14ac:dyDescent="0.25">
      <c r="A21" s="590"/>
      <c r="B21" s="591"/>
      <c r="C21" s="61"/>
      <c r="D21" s="61"/>
      <c r="E21" s="61"/>
      <c r="F21" s="61"/>
      <c r="G21" s="312"/>
      <c r="H21" s="312"/>
      <c r="I21" s="312"/>
      <c r="J21" s="312">
        <f t="shared" si="1"/>
        <v>0</v>
      </c>
      <c r="K21" s="151">
        <f t="shared" si="2"/>
        <v>0</v>
      </c>
      <c r="L21" s="152">
        <f t="shared" si="3"/>
        <v>0</v>
      </c>
      <c r="M21" s="152"/>
      <c r="N21" s="153"/>
      <c r="O21" s="154">
        <f t="shared" si="4"/>
        <v>0</v>
      </c>
      <c r="P21" s="155"/>
      <c r="AA21" s="178"/>
    </row>
    <row r="22" spans="1:36" ht="55.5" hidden="1" customHeight="1" x14ac:dyDescent="0.25">
      <c r="A22" s="590"/>
      <c r="B22" s="591"/>
      <c r="C22" s="61"/>
      <c r="D22" s="61"/>
      <c r="E22" s="61"/>
      <c r="F22" s="61"/>
      <c r="G22" s="312"/>
      <c r="H22" s="312"/>
      <c r="I22" s="312"/>
      <c r="J22" s="312">
        <f t="shared" si="1"/>
        <v>0</v>
      </c>
      <c r="K22" s="151">
        <f t="shared" si="2"/>
        <v>0</v>
      </c>
      <c r="L22" s="152">
        <f t="shared" si="3"/>
        <v>0</v>
      </c>
      <c r="M22" s="152"/>
      <c r="N22" s="153"/>
      <c r="O22" s="154">
        <f t="shared" si="4"/>
        <v>0</v>
      </c>
      <c r="P22" s="155"/>
    </row>
    <row r="23" spans="1:36" ht="55.5" hidden="1" customHeight="1" x14ac:dyDescent="0.25">
      <c r="A23" s="590"/>
      <c r="B23" s="591"/>
      <c r="C23" s="61"/>
      <c r="D23" s="61"/>
      <c r="E23" s="61"/>
      <c r="F23" s="61"/>
      <c r="G23" s="312"/>
      <c r="H23" s="312"/>
      <c r="I23" s="312"/>
      <c r="J23" s="312">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313">
        <f>SUM(G14:G23)</f>
        <v>195000</v>
      </c>
      <c r="H24" s="313">
        <f>SUM(H14:H23)</f>
        <v>0</v>
      </c>
      <c r="I24" s="313">
        <f>SUM(I14:I23)</f>
        <v>40000</v>
      </c>
      <c r="J24" s="313">
        <f>SUM(J14:J23)</f>
        <v>40000</v>
      </c>
      <c r="K24" s="156">
        <f>J24-G24</f>
        <v>-155000</v>
      </c>
      <c r="L24" s="156">
        <f t="shared" si="3"/>
        <v>-79.487179487179489</v>
      </c>
      <c r="M24" s="156"/>
      <c r="N24" s="157">
        <f>SUM(N14:N23)</f>
        <v>0</v>
      </c>
      <c r="O24" s="156">
        <f t="shared" si="4"/>
        <v>0</v>
      </c>
      <c r="P24" s="158"/>
    </row>
    <row r="25" spans="1:36" x14ac:dyDescent="0.4">
      <c r="A25" s="616" t="s">
        <v>296</v>
      </c>
      <c r="B25" s="616"/>
      <c r="C25" s="616"/>
      <c r="D25" s="616"/>
      <c r="E25" s="616"/>
      <c r="F25" s="616"/>
      <c r="G25" s="616"/>
      <c r="H25" s="616"/>
      <c r="I25" s="616"/>
      <c r="J25" s="616"/>
      <c r="K25" s="616"/>
      <c r="L25" s="616"/>
      <c r="M25" s="616"/>
      <c r="N25" s="616"/>
      <c r="O25" s="616"/>
      <c r="P25" s="616"/>
    </row>
    <row r="26" spans="1:36" x14ac:dyDescent="0.4">
      <c r="A26" s="221"/>
      <c r="B26" s="221"/>
      <c r="C26" s="221"/>
      <c r="D26" s="221"/>
      <c r="E26" s="221"/>
      <c r="F26" s="221"/>
      <c r="G26" s="236">
        <f>'Quadro Geral'!J24</f>
        <v>195000</v>
      </c>
      <c r="H26" s="236">
        <f>'Quadro Geral'!K24</f>
        <v>0</v>
      </c>
      <c r="I26" s="236">
        <f>'Quadro Geral'!L24</f>
        <v>40000</v>
      </c>
      <c r="J26" s="236">
        <f>'Quadro Geral'!M24</f>
        <v>40000</v>
      </c>
      <c r="K26" s="221"/>
      <c r="L26" s="221"/>
      <c r="M26" s="221"/>
      <c r="N26" s="221"/>
      <c r="O26" s="221"/>
      <c r="P26" s="221"/>
    </row>
    <row r="27" spans="1:36" ht="36" customHeight="1" x14ac:dyDescent="0.25">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t="15" hidden="1" x14ac:dyDescent="0.25">
      <c r="A36" s="598" t="s">
        <v>387</v>
      </c>
      <c r="B36" s="599"/>
      <c r="C36" s="599"/>
      <c r="D36" s="599"/>
      <c r="E36" s="599"/>
      <c r="F36" s="599"/>
      <c r="G36" s="599"/>
      <c r="H36" s="599"/>
      <c r="I36" s="599"/>
      <c r="J36" s="599"/>
      <c r="K36" s="599"/>
      <c r="L36" s="599"/>
      <c r="M36" s="599"/>
      <c r="N36" s="599"/>
      <c r="O36" s="599"/>
      <c r="P36" s="600"/>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1.5"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374.25" customHeight="1" thickBot="1" x14ac:dyDescent="0.3">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2">
    <mergeCell ref="A6:P6"/>
    <mergeCell ref="A7:P7"/>
    <mergeCell ref="A8:F8"/>
    <mergeCell ref="G8:P8"/>
    <mergeCell ref="A9:F9"/>
    <mergeCell ref="G9:P9"/>
    <mergeCell ref="A11:B13"/>
    <mergeCell ref="C11:F11"/>
    <mergeCell ref="G11:J11"/>
    <mergeCell ref="K11:L11"/>
    <mergeCell ref="M11:M13"/>
    <mergeCell ref="P11:P13"/>
    <mergeCell ref="C12:E12"/>
    <mergeCell ref="F12:F13"/>
    <mergeCell ref="G12:G13"/>
    <mergeCell ref="H12:J12"/>
    <mergeCell ref="K12:K13"/>
    <mergeCell ref="L12:L13"/>
    <mergeCell ref="N12:N13"/>
    <mergeCell ref="O12:O13"/>
    <mergeCell ref="N11:O11"/>
    <mergeCell ref="A25:P25"/>
    <mergeCell ref="Q14:W14"/>
    <mergeCell ref="A15:B15"/>
    <mergeCell ref="A16:B16"/>
    <mergeCell ref="A17:B17"/>
    <mergeCell ref="A18:B18"/>
    <mergeCell ref="A19:B19"/>
    <mergeCell ref="A20:B20"/>
    <mergeCell ref="A21:B21"/>
    <mergeCell ref="A22:B22"/>
    <mergeCell ref="A23:B23"/>
    <mergeCell ref="A24:F24"/>
    <mergeCell ref="C33:F33"/>
    <mergeCell ref="A35:P35"/>
    <mergeCell ref="A36:P84"/>
    <mergeCell ref="A27:P27"/>
    <mergeCell ref="A28:P28"/>
    <mergeCell ref="A29:F29"/>
    <mergeCell ref="C30:F30"/>
    <mergeCell ref="C31:F31"/>
    <mergeCell ref="C32:F32"/>
  </mergeCells>
  <dataValidations count="2">
    <dataValidation type="list" allowBlank="1" showInputMessage="1" showErrorMessage="1" sqref="M15:M23">
      <formula1>$BA$13:$BA$16</formula1>
    </dataValidation>
    <dataValidation type="list" allowBlank="1" showInputMessage="1" showErrorMessage="1" sqref="BA13:BA15">
      <formula1>$BA$13:$BA$15</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'[3]Ações Estratégicas - Descrição'!#REF!</xm:f>
          </x14:formula1>
          <xm:sqref>E16:E18</xm:sqref>
        </x14:dataValidation>
        <x14:dataValidation type="list" allowBlank="1" showInputMessage="1" showErrorMessage="1">
          <x14:formula1>
            <xm:f>[3]Resumo!#REF!</xm:f>
          </x14:formula1>
          <xm:sqref>E19</xm:sqref>
        </x14:dataValidation>
        <x14:dataValidation type="list" allowBlank="1" showInputMessage="1" showErrorMessage="1">
          <x14:formula1>
            <xm:f>'AÇÕES ESTRATÉGICAS - DESCRIÇÃO '!$C$2:$C$22</xm:f>
          </x14:formula1>
          <xm:sqref>E20:E23</xm:sqref>
        </x14:dataValidation>
        <x14:dataValidation type="list" allowBlank="1" showInputMessage="1" showErrorMessage="1">
          <x14:formula1>
            <xm:f>[4]Resumo!#REF!</xm:f>
          </x14:formula1>
          <xm:sqref>E15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5:BA84"/>
  <sheetViews>
    <sheetView showGridLines="0" topLeftCell="A8" zoomScale="40" zoomScaleNormal="40" zoomScaleSheetLayoutView="80" workbookViewId="0">
      <selection activeCell="A24" sqref="A24:F24"/>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23.7109375" style="1" bestFit="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454</v>
      </c>
      <c r="H8" s="570"/>
      <c r="I8" s="570"/>
      <c r="J8" s="570"/>
      <c r="K8" s="570"/>
      <c r="L8" s="570"/>
      <c r="M8" s="570"/>
      <c r="N8" s="570"/>
      <c r="O8" s="570"/>
      <c r="P8" s="571"/>
      <c r="Q8" s="42" t="b">
        <f>G8='Quadro Geral'!E28</f>
        <v>1</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640</v>
      </c>
      <c r="H9" s="570"/>
      <c r="I9" s="570"/>
      <c r="J9" s="570"/>
      <c r="K9" s="570"/>
      <c r="L9" s="570"/>
      <c r="M9" s="570"/>
      <c r="N9" s="570"/>
      <c r="O9" s="570"/>
      <c r="P9" s="571"/>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219" t="s">
        <v>289</v>
      </c>
      <c r="D13" s="220" t="s">
        <v>288</v>
      </c>
      <c r="E13" s="130" t="s">
        <v>217</v>
      </c>
      <c r="F13" s="582"/>
      <c r="G13" s="582"/>
      <c r="H13" s="219" t="s">
        <v>373</v>
      </c>
      <c r="I13" s="219" t="s">
        <v>374</v>
      </c>
      <c r="J13" s="219"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131.25" x14ac:dyDescent="0.5">
      <c r="A15" s="590" t="s">
        <v>512</v>
      </c>
      <c r="B15" s="591"/>
      <c r="C15" s="200">
        <v>3</v>
      </c>
      <c r="D15" s="61" t="s">
        <v>697</v>
      </c>
      <c r="E15" s="61" t="s">
        <v>281</v>
      </c>
      <c r="F15" s="61" t="s">
        <v>698</v>
      </c>
      <c r="G15" s="210">
        <v>23000</v>
      </c>
      <c r="H15" s="231">
        <v>0</v>
      </c>
      <c r="I15" s="231">
        <v>20000</v>
      </c>
      <c r="J15" s="231">
        <f>H15+I15</f>
        <v>20000</v>
      </c>
      <c r="K15" s="151">
        <f>J15-G15</f>
        <v>-3000</v>
      </c>
      <c r="L15" s="152">
        <f>IFERROR(K15/G15*100,0)</f>
        <v>-13.043478260869565</v>
      </c>
      <c r="M15" s="152" t="s">
        <v>371</v>
      </c>
      <c r="N15" s="153"/>
      <c r="O15" s="154">
        <f>IFERROR(N15/J15*100,)</f>
        <v>0</v>
      </c>
      <c r="P15" s="155" t="s">
        <v>546</v>
      </c>
      <c r="Z15" s="3"/>
      <c r="AA15" s="118"/>
      <c r="AB15" s="116"/>
      <c r="AC15" s="116"/>
      <c r="AD15" s="116"/>
      <c r="AE15" s="116"/>
      <c r="AF15" s="116"/>
      <c r="AG15" s="3"/>
      <c r="AH15" s="3"/>
      <c r="AI15" s="3"/>
      <c r="AJ15" s="3"/>
      <c r="AZ15" s="188"/>
      <c r="BA15" s="188" t="s">
        <v>213</v>
      </c>
    </row>
    <row r="16" spans="1:53" ht="157.5" x14ac:dyDescent="0.5">
      <c r="A16" s="590" t="s">
        <v>513</v>
      </c>
      <c r="B16" s="591"/>
      <c r="C16" s="200">
        <v>4</v>
      </c>
      <c r="D16" s="61" t="s">
        <v>699</v>
      </c>
      <c r="E16" s="61" t="s">
        <v>281</v>
      </c>
      <c r="F16" s="61" t="s">
        <v>700</v>
      </c>
      <c r="G16" s="210">
        <v>4000</v>
      </c>
      <c r="H16" s="231">
        <v>0</v>
      </c>
      <c r="I16" s="231">
        <v>0</v>
      </c>
      <c r="J16" s="231">
        <f t="shared" ref="J16:J23" si="1">H16+I16</f>
        <v>0</v>
      </c>
      <c r="K16" s="151">
        <f t="shared" ref="K16:K22" si="2">J16-G16</f>
        <v>-4000</v>
      </c>
      <c r="L16" s="152">
        <f t="shared" ref="L16:L24" si="3">IFERROR(K16/G16*100,0)</f>
        <v>-100</v>
      </c>
      <c r="M16" s="152" t="s">
        <v>371</v>
      </c>
      <c r="N16" s="153"/>
      <c r="O16" s="154">
        <f t="shared" ref="O16:O24" si="4">IFERROR(N16/J16*100,)</f>
        <v>0</v>
      </c>
      <c r="P16" s="155" t="s">
        <v>546</v>
      </c>
      <c r="Z16" s="3"/>
      <c r="AA16" s="118"/>
      <c r="AB16" s="116"/>
      <c r="AC16" s="116"/>
      <c r="AD16" s="116"/>
      <c r="AE16" s="116"/>
      <c r="AF16" s="116"/>
      <c r="AG16" s="3"/>
      <c r="AH16" s="3"/>
      <c r="AI16" s="3"/>
      <c r="AJ16" s="3"/>
      <c r="AZ16" s="188"/>
      <c r="BA16" s="188" t="s">
        <v>371</v>
      </c>
    </row>
    <row r="17" spans="1:36" ht="157.5" x14ac:dyDescent="0.4">
      <c r="A17" s="590" t="s">
        <v>513</v>
      </c>
      <c r="B17" s="591"/>
      <c r="C17" s="200">
        <v>4</v>
      </c>
      <c r="D17" s="61" t="s">
        <v>701</v>
      </c>
      <c r="E17" s="61" t="s">
        <v>281</v>
      </c>
      <c r="F17" s="61" t="s">
        <v>700</v>
      </c>
      <c r="G17" s="210">
        <v>6000</v>
      </c>
      <c r="H17" s="231"/>
      <c r="I17" s="231">
        <v>0</v>
      </c>
      <c r="J17" s="231">
        <f t="shared" si="1"/>
        <v>0</v>
      </c>
      <c r="K17" s="151">
        <f t="shared" si="2"/>
        <v>-6000</v>
      </c>
      <c r="L17" s="152">
        <f t="shared" si="3"/>
        <v>-100</v>
      </c>
      <c r="M17" s="152" t="s">
        <v>371</v>
      </c>
      <c r="N17" s="153"/>
      <c r="O17" s="154">
        <f t="shared" si="4"/>
        <v>0</v>
      </c>
      <c r="P17" s="155" t="s">
        <v>546</v>
      </c>
      <c r="Z17" s="3"/>
      <c r="AA17" s="118"/>
      <c r="AB17" s="116"/>
      <c r="AC17" s="116"/>
      <c r="AD17" s="116"/>
      <c r="AE17" s="116"/>
      <c r="AF17" s="116"/>
      <c r="AG17" s="3"/>
      <c r="AH17" s="3"/>
      <c r="AI17" s="3"/>
      <c r="AJ17" s="3"/>
    </row>
    <row r="18" spans="1:36" ht="43.5" hidden="1" customHeight="1" x14ac:dyDescent="0.4">
      <c r="A18" s="590"/>
      <c r="B18" s="591"/>
      <c r="C18" s="200"/>
      <c r="D18" s="61"/>
      <c r="E18" s="61"/>
      <c r="F18" s="61"/>
      <c r="G18" s="232"/>
      <c r="H18" s="231">
        <v>0</v>
      </c>
      <c r="I18" s="231"/>
      <c r="J18" s="231">
        <f t="shared" si="1"/>
        <v>0</v>
      </c>
      <c r="K18" s="151">
        <f t="shared" si="2"/>
        <v>0</v>
      </c>
      <c r="L18" s="152">
        <f t="shared" si="3"/>
        <v>0</v>
      </c>
      <c r="M18" s="152"/>
      <c r="N18" s="153"/>
      <c r="O18" s="154">
        <f t="shared" si="4"/>
        <v>0</v>
      </c>
      <c r="P18" s="155"/>
      <c r="Z18" s="3"/>
      <c r="AA18" s="118"/>
      <c r="AB18" s="116"/>
      <c r="AC18" s="116"/>
      <c r="AD18" s="116"/>
      <c r="AE18" s="116"/>
      <c r="AF18" s="116"/>
      <c r="AG18" s="3"/>
      <c r="AH18" s="3"/>
      <c r="AI18" s="3"/>
      <c r="AJ18" s="3"/>
    </row>
    <row r="19" spans="1:36" ht="28.5" hidden="1" x14ac:dyDescent="0.25">
      <c r="A19" s="590"/>
      <c r="B19" s="591"/>
      <c r="C19" s="200"/>
      <c r="D19" s="61"/>
      <c r="E19" s="61"/>
      <c r="F19" s="61"/>
      <c r="G19" s="233"/>
      <c r="H19" s="231"/>
      <c r="I19" s="231"/>
      <c r="J19" s="231">
        <f t="shared" si="1"/>
        <v>0</v>
      </c>
      <c r="K19" s="151">
        <f t="shared" si="2"/>
        <v>0</v>
      </c>
      <c r="L19" s="152">
        <f t="shared" si="3"/>
        <v>0</v>
      </c>
      <c r="M19" s="152"/>
      <c r="N19" s="153"/>
      <c r="O19" s="154">
        <f t="shared" si="4"/>
        <v>0</v>
      </c>
      <c r="P19" s="155"/>
      <c r="Z19" s="3"/>
      <c r="AA19" s="3"/>
      <c r="AB19" s="3"/>
      <c r="AC19" s="3"/>
      <c r="AD19" s="3"/>
      <c r="AE19" s="3"/>
      <c r="AF19" s="3"/>
      <c r="AG19" s="3"/>
      <c r="AH19" s="3"/>
      <c r="AI19" s="3"/>
      <c r="AJ19" s="3"/>
    </row>
    <row r="20" spans="1:36" ht="55.5" hidden="1" customHeight="1" x14ac:dyDescent="0.25">
      <c r="A20" s="590"/>
      <c r="B20" s="591"/>
      <c r="C20" s="61"/>
      <c r="D20" s="61"/>
      <c r="E20" s="61"/>
      <c r="F20" s="61"/>
      <c r="G20" s="231"/>
      <c r="H20" s="231"/>
      <c r="I20" s="231"/>
      <c r="J20" s="231">
        <f t="shared" si="1"/>
        <v>0</v>
      </c>
      <c r="K20" s="151">
        <f t="shared" si="2"/>
        <v>0</v>
      </c>
      <c r="L20" s="152">
        <f t="shared" si="3"/>
        <v>0</v>
      </c>
      <c r="M20" s="152"/>
      <c r="N20" s="153"/>
      <c r="O20" s="154">
        <f t="shared" si="4"/>
        <v>0</v>
      </c>
      <c r="P20" s="155"/>
      <c r="Z20" s="3"/>
      <c r="AA20" s="3"/>
      <c r="AB20" s="3"/>
      <c r="AC20" s="3"/>
      <c r="AD20" s="3"/>
      <c r="AE20" s="3"/>
      <c r="AF20" s="3"/>
      <c r="AG20" s="3"/>
      <c r="AH20" s="3"/>
      <c r="AI20" s="3"/>
      <c r="AJ20" s="3"/>
    </row>
    <row r="21" spans="1:36" ht="55.5" hidden="1" customHeight="1" x14ac:dyDescent="0.25">
      <c r="A21" s="590"/>
      <c r="B21" s="591"/>
      <c r="C21" s="61"/>
      <c r="D21" s="61"/>
      <c r="E21" s="61"/>
      <c r="F21" s="61"/>
      <c r="G21" s="231"/>
      <c r="H21" s="231"/>
      <c r="I21" s="231"/>
      <c r="J21" s="231">
        <f t="shared" si="1"/>
        <v>0</v>
      </c>
      <c r="K21" s="151">
        <f t="shared" si="2"/>
        <v>0</v>
      </c>
      <c r="L21" s="152">
        <f t="shared" si="3"/>
        <v>0</v>
      </c>
      <c r="M21" s="152"/>
      <c r="N21" s="153"/>
      <c r="O21" s="154">
        <f t="shared" si="4"/>
        <v>0</v>
      </c>
      <c r="P21" s="155"/>
      <c r="AA21" s="178"/>
    </row>
    <row r="22" spans="1:36" ht="55.5" hidden="1" customHeight="1" x14ac:dyDescent="0.25">
      <c r="A22" s="590"/>
      <c r="B22" s="591"/>
      <c r="C22" s="61"/>
      <c r="D22" s="61"/>
      <c r="E22" s="61"/>
      <c r="F22" s="61"/>
      <c r="G22" s="231"/>
      <c r="H22" s="231"/>
      <c r="I22" s="231"/>
      <c r="J22" s="231">
        <f t="shared" si="1"/>
        <v>0</v>
      </c>
      <c r="K22" s="151">
        <f t="shared" si="2"/>
        <v>0</v>
      </c>
      <c r="L22" s="152">
        <f t="shared" si="3"/>
        <v>0</v>
      </c>
      <c r="M22" s="152"/>
      <c r="N22" s="153"/>
      <c r="O22" s="154">
        <f t="shared" si="4"/>
        <v>0</v>
      </c>
      <c r="P22" s="155"/>
    </row>
    <row r="23" spans="1:36" ht="55.5" hidden="1" customHeight="1" x14ac:dyDescent="0.25">
      <c r="A23" s="590"/>
      <c r="B23" s="591"/>
      <c r="C23" s="61"/>
      <c r="D23" s="61"/>
      <c r="E23" s="61"/>
      <c r="F23" s="61"/>
      <c r="G23" s="231"/>
      <c r="H23" s="231"/>
      <c r="I23" s="231"/>
      <c r="J23" s="231">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234">
        <f>SUM(G14:G23)</f>
        <v>33000</v>
      </c>
      <c r="H24" s="234">
        <f t="shared" ref="H24:J24" si="5">SUM(H14:H23)</f>
        <v>0</v>
      </c>
      <c r="I24" s="234">
        <f t="shared" si="5"/>
        <v>20000</v>
      </c>
      <c r="J24" s="234">
        <f t="shared" si="5"/>
        <v>20000</v>
      </c>
      <c r="K24" s="156">
        <f>J24-G24</f>
        <v>-13000</v>
      </c>
      <c r="L24" s="156">
        <f t="shared" si="3"/>
        <v>-39.393939393939391</v>
      </c>
      <c r="M24" s="156"/>
      <c r="N24" s="157">
        <f>SUM(N14:N23)</f>
        <v>0</v>
      </c>
      <c r="O24" s="156">
        <f t="shared" si="4"/>
        <v>0</v>
      </c>
      <c r="P24" s="158"/>
    </row>
    <row r="25" spans="1:36" x14ac:dyDescent="0.4">
      <c r="A25" s="306" t="s">
        <v>296</v>
      </c>
      <c r="B25" s="306"/>
      <c r="C25" s="306"/>
      <c r="D25" s="306"/>
      <c r="E25" s="306"/>
      <c r="F25" s="306"/>
      <c r="G25" s="306" t="b">
        <f>G24=G26</f>
        <v>1</v>
      </c>
      <c r="H25" s="306" t="b">
        <f t="shared" ref="H25:J25" si="6">H24=H26</f>
        <v>1</v>
      </c>
      <c r="I25" s="306" t="b">
        <f t="shared" si="6"/>
        <v>1</v>
      </c>
      <c r="J25" s="306" t="b">
        <f t="shared" si="6"/>
        <v>1</v>
      </c>
      <c r="K25" s="306"/>
      <c r="L25" s="306"/>
      <c r="M25" s="306"/>
      <c r="N25" s="306"/>
      <c r="O25" s="306"/>
      <c r="P25" s="306"/>
    </row>
    <row r="26" spans="1:36" x14ac:dyDescent="0.4">
      <c r="A26" s="221"/>
      <c r="B26" s="221"/>
      <c r="C26" s="221"/>
      <c r="D26" s="221"/>
      <c r="E26" s="221"/>
      <c r="F26" s="221"/>
      <c r="G26" s="236">
        <f>'Quadro Geral'!J28</f>
        <v>33000</v>
      </c>
      <c r="H26" s="236">
        <f>'Quadro Geral'!K28</f>
        <v>0</v>
      </c>
      <c r="I26" s="236">
        <f>'Quadro Geral'!L28</f>
        <v>20000</v>
      </c>
      <c r="J26" s="236">
        <f>'Quadro Geral'!M28</f>
        <v>20000</v>
      </c>
      <c r="K26" s="221"/>
      <c r="L26" s="221"/>
      <c r="M26" s="221"/>
      <c r="N26" s="221"/>
      <c r="O26" s="221"/>
      <c r="P26" s="221"/>
    </row>
    <row r="27" spans="1:36" ht="36" customHeight="1" x14ac:dyDescent="0.25">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t="15" hidden="1" x14ac:dyDescent="0.25">
      <c r="A36" s="598" t="s">
        <v>387</v>
      </c>
      <c r="B36" s="599"/>
      <c r="C36" s="599"/>
      <c r="D36" s="599"/>
      <c r="E36" s="599"/>
      <c r="F36" s="599"/>
      <c r="G36" s="599"/>
      <c r="H36" s="599"/>
      <c r="I36" s="599"/>
      <c r="J36" s="599"/>
      <c r="K36" s="599"/>
      <c r="L36" s="599"/>
      <c r="M36" s="599"/>
      <c r="N36" s="599"/>
      <c r="O36" s="599"/>
      <c r="P36" s="600"/>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1.5"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374.25" customHeight="1" thickBot="1" x14ac:dyDescent="0.3">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1">
    <mergeCell ref="A6:P6"/>
    <mergeCell ref="A7:P7"/>
    <mergeCell ref="A8:F8"/>
    <mergeCell ref="G8:P8"/>
    <mergeCell ref="A9:F9"/>
    <mergeCell ref="G9:P9"/>
    <mergeCell ref="A24:F24"/>
    <mergeCell ref="P11:P13"/>
    <mergeCell ref="C12:E12"/>
    <mergeCell ref="F12:F13"/>
    <mergeCell ref="G12:G13"/>
    <mergeCell ref="H12:J12"/>
    <mergeCell ref="K12:K13"/>
    <mergeCell ref="L12:L13"/>
    <mergeCell ref="N12:N13"/>
    <mergeCell ref="O12:O13"/>
    <mergeCell ref="N11:O11"/>
    <mergeCell ref="A11:B13"/>
    <mergeCell ref="C11:F11"/>
    <mergeCell ref="G11:J11"/>
    <mergeCell ref="K11:L11"/>
    <mergeCell ref="M11:M13"/>
    <mergeCell ref="A19:B19"/>
    <mergeCell ref="A20:B20"/>
    <mergeCell ref="A21:B21"/>
    <mergeCell ref="A22:B22"/>
    <mergeCell ref="A23:B23"/>
    <mergeCell ref="Q14:W14"/>
    <mergeCell ref="A15:B15"/>
    <mergeCell ref="A16:B16"/>
    <mergeCell ref="A17:B17"/>
    <mergeCell ref="A18:B18"/>
    <mergeCell ref="C33:F33"/>
    <mergeCell ref="A35:P35"/>
    <mergeCell ref="A36:P84"/>
    <mergeCell ref="A27:P27"/>
    <mergeCell ref="A28:P28"/>
    <mergeCell ref="A29:F29"/>
    <mergeCell ref="C30:F30"/>
    <mergeCell ref="C31:F31"/>
    <mergeCell ref="C32:F32"/>
  </mergeCells>
  <dataValidations count="2">
    <dataValidation type="list" allowBlank="1" showInputMessage="1" showErrorMessage="1" sqref="M15:M23">
      <formula1>$BA$13:$BA$16</formula1>
    </dataValidation>
    <dataValidation type="list" allowBlank="1" showInputMessage="1" showErrorMessage="1" sqref="BA13:BA15">
      <formula1>$BA$13:$BA$15</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[4]Resumo!#REF!</xm:f>
          </x14:formula1>
          <xm:sqref>E15:E17</xm:sqref>
        </x14:dataValidation>
        <x14:dataValidation type="list" allowBlank="1" showInputMessage="1" showErrorMessage="1">
          <x14:formula1>
            <xm:f>'[3]Ações Estratégicas - Descrição'!#REF!</xm:f>
          </x14:formula1>
          <xm:sqref>E18</xm:sqref>
        </x14:dataValidation>
        <x14:dataValidation type="list" allowBlank="1" showInputMessage="1" showErrorMessage="1">
          <x14:formula1>
            <xm:f>[3]Resumo!#REF!</xm:f>
          </x14:formula1>
          <xm:sqref>E19</xm:sqref>
        </x14:dataValidation>
        <x14:dataValidation type="list" allowBlank="1" showInputMessage="1" showErrorMessage="1">
          <x14:formula1>
            <xm:f>'AÇÕES ESTRATÉGICAS - DESCRIÇÃO '!$C$2:$C$22</xm:f>
          </x14:formula1>
          <xm:sqref>E20:E23</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5:BA84"/>
  <sheetViews>
    <sheetView showGridLines="0" topLeftCell="A7" zoomScale="40" zoomScaleNormal="40" zoomScaleSheetLayoutView="80" workbookViewId="0">
      <selection activeCell="J25" sqref="J25"/>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27.7109375" style="1" bestFit="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456</v>
      </c>
      <c r="H8" s="570"/>
      <c r="I8" s="570"/>
      <c r="J8" s="570"/>
      <c r="K8" s="570"/>
      <c r="L8" s="570"/>
      <c r="M8" s="570"/>
      <c r="N8" s="570"/>
      <c r="O8" s="570"/>
      <c r="P8" s="571"/>
      <c r="Q8" s="307" t="b">
        <f>G8='Quadro Geral'!E29</f>
        <v>1</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640</v>
      </c>
      <c r="H9" s="570"/>
      <c r="I9" s="570"/>
      <c r="J9" s="570"/>
      <c r="K9" s="570"/>
      <c r="L9" s="570"/>
      <c r="M9" s="570"/>
      <c r="N9" s="570"/>
      <c r="O9" s="570"/>
      <c r="P9" s="571"/>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175" t="s">
        <v>289</v>
      </c>
      <c r="D13" s="176" t="s">
        <v>288</v>
      </c>
      <c r="E13" s="130" t="s">
        <v>217</v>
      </c>
      <c r="F13" s="582"/>
      <c r="G13" s="582"/>
      <c r="H13" s="175" t="s">
        <v>373</v>
      </c>
      <c r="I13" s="175" t="s">
        <v>374</v>
      </c>
      <c r="J13" s="175"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78.75" x14ac:dyDescent="0.5">
      <c r="A15" s="590" t="s">
        <v>514</v>
      </c>
      <c r="B15" s="591"/>
      <c r="C15" s="201">
        <v>1</v>
      </c>
      <c r="D15" s="201" t="s">
        <v>693</v>
      </c>
      <c r="E15" s="61" t="s">
        <v>281</v>
      </c>
      <c r="F15" s="61" t="s">
        <v>694</v>
      </c>
      <c r="G15" s="231">
        <v>2500</v>
      </c>
      <c r="H15" s="231">
        <v>0</v>
      </c>
      <c r="I15" s="231">
        <v>2500</v>
      </c>
      <c r="J15" s="231">
        <f>H15+I15</f>
        <v>2500</v>
      </c>
      <c r="K15" s="151">
        <f>J15-G15</f>
        <v>0</v>
      </c>
      <c r="L15" s="152">
        <f>IFERROR(K15/G15*100,0)</f>
        <v>0</v>
      </c>
      <c r="M15" s="152" t="s">
        <v>371</v>
      </c>
      <c r="N15" s="153"/>
      <c r="O15" s="154">
        <f>IFERROR(N15/J15*100,)</f>
        <v>0</v>
      </c>
      <c r="P15" s="155" t="s">
        <v>547</v>
      </c>
      <c r="Z15" s="3"/>
      <c r="AA15" s="118"/>
      <c r="AB15" s="116"/>
      <c r="AC15" s="116"/>
      <c r="AD15" s="116"/>
      <c r="AE15" s="116"/>
      <c r="AF15" s="116"/>
      <c r="AG15" s="3"/>
      <c r="AH15" s="3"/>
      <c r="AI15" s="3"/>
      <c r="AJ15" s="3"/>
      <c r="AZ15" s="188"/>
      <c r="BA15" s="188" t="s">
        <v>213</v>
      </c>
    </row>
    <row r="16" spans="1:53" ht="78.75" x14ac:dyDescent="0.5">
      <c r="A16" s="590" t="s">
        <v>514</v>
      </c>
      <c r="B16" s="591"/>
      <c r="C16" s="204">
        <v>6</v>
      </c>
      <c r="D16" s="201" t="s">
        <v>688</v>
      </c>
      <c r="E16" s="61" t="s">
        <v>245</v>
      </c>
      <c r="F16" s="61" t="s">
        <v>687</v>
      </c>
      <c r="G16" s="231">
        <v>2500</v>
      </c>
      <c r="H16" s="231">
        <v>0</v>
      </c>
      <c r="I16" s="231">
        <v>2500</v>
      </c>
      <c r="J16" s="231">
        <f t="shared" ref="J16:J23" si="1">H16+I16</f>
        <v>2500</v>
      </c>
      <c r="K16" s="151">
        <f t="shared" ref="K16:K22" si="2">J16-G16</f>
        <v>0</v>
      </c>
      <c r="L16" s="152">
        <f t="shared" ref="L16:L24" si="3">IFERROR(K16/G16*100,0)</f>
        <v>0</v>
      </c>
      <c r="M16" s="152" t="s">
        <v>371</v>
      </c>
      <c r="N16" s="153"/>
      <c r="O16" s="154">
        <f t="shared" ref="O16:O24" si="4">IFERROR(N16/J16*100,)</f>
        <v>0</v>
      </c>
      <c r="P16" s="155" t="s">
        <v>547</v>
      </c>
      <c r="Z16" s="3"/>
      <c r="AA16" s="118"/>
      <c r="AB16" s="116"/>
      <c r="AC16" s="116"/>
      <c r="AD16" s="116"/>
      <c r="AE16" s="116"/>
      <c r="AF16" s="116"/>
      <c r="AG16" s="3"/>
      <c r="AH16" s="3"/>
      <c r="AI16" s="3"/>
      <c r="AJ16" s="3"/>
      <c r="AZ16" s="188"/>
      <c r="BA16" s="188" t="s">
        <v>371</v>
      </c>
    </row>
    <row r="17" spans="1:36" ht="131.25" x14ac:dyDescent="0.4">
      <c r="A17" s="590" t="s">
        <v>514</v>
      </c>
      <c r="B17" s="591"/>
      <c r="C17" s="204">
        <v>1</v>
      </c>
      <c r="D17" s="201" t="s">
        <v>689</v>
      </c>
      <c r="E17" s="61" t="s">
        <v>243</v>
      </c>
      <c r="F17" s="61" t="s">
        <v>690</v>
      </c>
      <c r="G17" s="231"/>
      <c r="H17" s="231"/>
      <c r="I17" s="231"/>
      <c r="J17" s="231">
        <f t="shared" si="1"/>
        <v>0</v>
      </c>
      <c r="K17" s="151">
        <f t="shared" si="2"/>
        <v>0</v>
      </c>
      <c r="L17" s="152">
        <f t="shared" si="3"/>
        <v>0</v>
      </c>
      <c r="M17" s="152" t="s">
        <v>371</v>
      </c>
      <c r="N17" s="153"/>
      <c r="O17" s="154">
        <f t="shared" si="4"/>
        <v>0</v>
      </c>
      <c r="P17" s="155" t="s">
        <v>547</v>
      </c>
      <c r="Z17" s="3"/>
      <c r="AA17" s="118"/>
      <c r="AB17" s="116"/>
      <c r="AC17" s="116"/>
      <c r="AD17" s="116"/>
      <c r="AE17" s="116"/>
      <c r="AF17" s="116"/>
      <c r="AG17" s="3"/>
      <c r="AH17" s="3"/>
      <c r="AI17" s="3"/>
      <c r="AJ17" s="3"/>
    </row>
    <row r="18" spans="1:36" ht="52.5" x14ac:dyDescent="0.4">
      <c r="A18" s="590" t="s">
        <v>512</v>
      </c>
      <c r="B18" s="591"/>
      <c r="C18" s="200">
        <v>3</v>
      </c>
      <c r="D18" s="61" t="s">
        <v>691</v>
      </c>
      <c r="E18" s="61" t="s">
        <v>245</v>
      </c>
      <c r="F18" s="61" t="s">
        <v>692</v>
      </c>
      <c r="G18" s="232">
        <v>71000</v>
      </c>
      <c r="H18" s="231">
        <v>0</v>
      </c>
      <c r="I18" s="231">
        <v>95000</v>
      </c>
      <c r="J18" s="231">
        <f t="shared" si="1"/>
        <v>95000</v>
      </c>
      <c r="K18" s="151">
        <f t="shared" si="2"/>
        <v>24000</v>
      </c>
      <c r="L18" s="152">
        <f t="shared" si="3"/>
        <v>33.802816901408448</v>
      </c>
      <c r="M18" s="152"/>
      <c r="N18" s="153"/>
      <c r="O18" s="154">
        <f t="shared" si="4"/>
        <v>0</v>
      </c>
      <c r="P18" s="155" t="s">
        <v>547</v>
      </c>
      <c r="Z18" s="3"/>
      <c r="AA18" s="118"/>
      <c r="AB18" s="116"/>
      <c r="AC18" s="116"/>
      <c r="AD18" s="116"/>
      <c r="AE18" s="116"/>
      <c r="AF18" s="116"/>
      <c r="AG18" s="3"/>
      <c r="AH18" s="3"/>
      <c r="AI18" s="3"/>
      <c r="AJ18" s="3"/>
    </row>
    <row r="19" spans="1:36" ht="77.25" hidden="1" customHeight="1" x14ac:dyDescent="0.25">
      <c r="A19" s="590"/>
      <c r="B19" s="591"/>
      <c r="C19" s="200"/>
      <c r="D19" s="61"/>
      <c r="E19" s="61"/>
      <c r="F19" s="61"/>
      <c r="G19" s="233"/>
      <c r="H19" s="231"/>
      <c r="I19" s="231"/>
      <c r="J19" s="231">
        <f t="shared" si="1"/>
        <v>0</v>
      </c>
      <c r="K19" s="151">
        <f t="shared" si="2"/>
        <v>0</v>
      </c>
      <c r="L19" s="152">
        <f t="shared" si="3"/>
        <v>0</v>
      </c>
      <c r="M19" s="152"/>
      <c r="N19" s="153"/>
      <c r="O19" s="154">
        <f t="shared" si="4"/>
        <v>0</v>
      </c>
      <c r="P19" s="155"/>
      <c r="Z19" s="3"/>
      <c r="AA19" s="3"/>
      <c r="AB19" s="3"/>
      <c r="AC19" s="3"/>
      <c r="AD19" s="3"/>
      <c r="AE19" s="3"/>
      <c r="AF19" s="3"/>
      <c r="AG19" s="3"/>
      <c r="AH19" s="3"/>
      <c r="AI19" s="3"/>
      <c r="AJ19" s="3"/>
    </row>
    <row r="20" spans="1:36" ht="55.5" hidden="1" customHeight="1" x14ac:dyDescent="0.25">
      <c r="A20" s="590"/>
      <c r="B20" s="591"/>
      <c r="C20" s="61"/>
      <c r="D20" s="61"/>
      <c r="E20" s="61"/>
      <c r="F20" s="61"/>
      <c r="G20" s="231"/>
      <c r="H20" s="231"/>
      <c r="I20" s="231"/>
      <c r="J20" s="231">
        <f t="shared" si="1"/>
        <v>0</v>
      </c>
      <c r="K20" s="151">
        <f t="shared" si="2"/>
        <v>0</v>
      </c>
      <c r="L20" s="152">
        <f t="shared" si="3"/>
        <v>0</v>
      </c>
      <c r="M20" s="152"/>
      <c r="N20" s="153"/>
      <c r="O20" s="154">
        <f t="shared" si="4"/>
        <v>0</v>
      </c>
      <c r="P20" s="155"/>
      <c r="Z20" s="3"/>
      <c r="AA20" s="3"/>
      <c r="AB20" s="3"/>
      <c r="AC20" s="3"/>
      <c r="AD20" s="3"/>
      <c r="AE20" s="3"/>
      <c r="AF20" s="3"/>
      <c r="AG20" s="3"/>
      <c r="AH20" s="3"/>
      <c r="AI20" s="3"/>
      <c r="AJ20" s="3"/>
    </row>
    <row r="21" spans="1:36" ht="55.5" hidden="1" customHeight="1" x14ac:dyDescent="0.25">
      <c r="A21" s="590"/>
      <c r="B21" s="591"/>
      <c r="C21" s="61"/>
      <c r="D21" s="61"/>
      <c r="E21" s="61"/>
      <c r="F21" s="61"/>
      <c r="G21" s="231"/>
      <c r="H21" s="231"/>
      <c r="I21" s="231"/>
      <c r="J21" s="231">
        <f t="shared" si="1"/>
        <v>0</v>
      </c>
      <c r="K21" s="151">
        <f t="shared" si="2"/>
        <v>0</v>
      </c>
      <c r="L21" s="152">
        <f t="shared" si="3"/>
        <v>0</v>
      </c>
      <c r="M21" s="152"/>
      <c r="N21" s="153"/>
      <c r="O21" s="154">
        <f t="shared" si="4"/>
        <v>0</v>
      </c>
      <c r="P21" s="155"/>
      <c r="AA21" s="178"/>
    </row>
    <row r="22" spans="1:36" ht="55.5" hidden="1" customHeight="1" x14ac:dyDescent="0.25">
      <c r="A22" s="590"/>
      <c r="B22" s="591"/>
      <c r="C22" s="61"/>
      <c r="D22" s="61"/>
      <c r="E22" s="61"/>
      <c r="F22" s="61"/>
      <c r="G22" s="231"/>
      <c r="H22" s="231"/>
      <c r="I22" s="231"/>
      <c r="J22" s="231">
        <f t="shared" si="1"/>
        <v>0</v>
      </c>
      <c r="K22" s="151">
        <f t="shared" si="2"/>
        <v>0</v>
      </c>
      <c r="L22" s="152">
        <f t="shared" si="3"/>
        <v>0</v>
      </c>
      <c r="M22" s="152"/>
      <c r="N22" s="153"/>
      <c r="O22" s="154">
        <f t="shared" si="4"/>
        <v>0</v>
      </c>
      <c r="P22" s="155"/>
    </row>
    <row r="23" spans="1:36" ht="55.5" hidden="1" customHeight="1" x14ac:dyDescent="0.25">
      <c r="A23" s="590"/>
      <c r="B23" s="591"/>
      <c r="C23" s="61"/>
      <c r="D23" s="61"/>
      <c r="E23" s="61"/>
      <c r="F23" s="61"/>
      <c r="G23" s="231"/>
      <c r="H23" s="231"/>
      <c r="I23" s="231"/>
      <c r="J23" s="231">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234">
        <f>SUM(G14:G23)</f>
        <v>76000</v>
      </c>
      <c r="H24" s="234">
        <f>SUM(H14:H23)</f>
        <v>0</v>
      </c>
      <c r="I24" s="234">
        <f>SUM(I14:I23)</f>
        <v>100000</v>
      </c>
      <c r="J24" s="234">
        <f>SUM(J14:J23)</f>
        <v>100000</v>
      </c>
      <c r="K24" s="156">
        <f>J24-G24</f>
        <v>24000</v>
      </c>
      <c r="L24" s="156">
        <f t="shared" si="3"/>
        <v>31.578947368421051</v>
      </c>
      <c r="M24" s="156"/>
      <c r="N24" s="157">
        <f>SUM(N14:N23)</f>
        <v>0</v>
      </c>
      <c r="O24" s="156">
        <f t="shared" si="4"/>
        <v>0</v>
      </c>
      <c r="P24" s="158"/>
    </row>
    <row r="25" spans="1:36" x14ac:dyDescent="0.4">
      <c r="A25" s="306" t="s">
        <v>296</v>
      </c>
      <c r="B25" s="306"/>
      <c r="C25" s="306"/>
      <c r="D25" s="306"/>
      <c r="E25" s="306"/>
      <c r="F25" s="306"/>
      <c r="G25" s="306" t="b">
        <f>G24=G26</f>
        <v>1</v>
      </c>
      <c r="H25" s="306" t="b">
        <f t="shared" ref="H25:J25" si="5">H24=H26</f>
        <v>1</v>
      </c>
      <c r="I25" s="306" t="b">
        <f t="shared" si="5"/>
        <v>1</v>
      </c>
      <c r="J25" s="306" t="b">
        <f t="shared" si="5"/>
        <v>1</v>
      </c>
      <c r="K25" s="306"/>
      <c r="L25" s="306"/>
      <c r="M25" s="306"/>
      <c r="N25" s="306"/>
      <c r="O25" s="306"/>
      <c r="P25" s="306"/>
    </row>
    <row r="26" spans="1:36" x14ac:dyDescent="0.4">
      <c r="A26" s="221"/>
      <c r="B26" s="221"/>
      <c r="C26" s="221"/>
      <c r="D26" s="221"/>
      <c r="E26" s="221"/>
      <c r="F26" s="221"/>
      <c r="G26" s="236">
        <f>'Quadro Geral'!J29</f>
        <v>76000</v>
      </c>
      <c r="H26" s="236">
        <f>'Quadro Geral'!K29</f>
        <v>0</v>
      </c>
      <c r="I26" s="236">
        <f>'Quadro Geral'!L29</f>
        <v>100000</v>
      </c>
      <c r="J26" s="236">
        <f>'Quadro Geral'!M29</f>
        <v>100000</v>
      </c>
      <c r="K26" s="221"/>
      <c r="L26" s="221"/>
      <c r="M26" s="221"/>
      <c r="N26" s="221"/>
      <c r="O26" s="221"/>
      <c r="P26" s="221"/>
    </row>
    <row r="27" spans="1:36" ht="36" customHeight="1" x14ac:dyDescent="0.25">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t="15" hidden="1" x14ac:dyDescent="0.25">
      <c r="A36" s="598" t="s">
        <v>387</v>
      </c>
      <c r="B36" s="599"/>
      <c r="C36" s="599"/>
      <c r="D36" s="599"/>
      <c r="E36" s="599"/>
      <c r="F36" s="599"/>
      <c r="G36" s="599"/>
      <c r="H36" s="599"/>
      <c r="I36" s="599"/>
      <c r="J36" s="599"/>
      <c r="K36" s="599"/>
      <c r="L36" s="599"/>
      <c r="M36" s="599"/>
      <c r="N36" s="599"/>
      <c r="O36" s="599"/>
      <c r="P36" s="600"/>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1.5"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374.25" customHeight="1" thickBot="1" x14ac:dyDescent="0.3">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1">
    <mergeCell ref="A35:P35"/>
    <mergeCell ref="A36:P84"/>
    <mergeCell ref="A28:P28"/>
    <mergeCell ref="A29:F29"/>
    <mergeCell ref="C30:F30"/>
    <mergeCell ref="C31:F31"/>
    <mergeCell ref="C32:F32"/>
    <mergeCell ref="C33:F33"/>
    <mergeCell ref="A27:P27"/>
    <mergeCell ref="G9:P9"/>
    <mergeCell ref="A11:B13"/>
    <mergeCell ref="A15:B15"/>
    <mergeCell ref="A16:B16"/>
    <mergeCell ref="N12:N13"/>
    <mergeCell ref="O12:O13"/>
    <mergeCell ref="M11:M13"/>
    <mergeCell ref="N11:O11"/>
    <mergeCell ref="P11:P13"/>
    <mergeCell ref="C12:E12"/>
    <mergeCell ref="F12:F13"/>
    <mergeCell ref="G12:G13"/>
    <mergeCell ref="H12:J12"/>
    <mergeCell ref="A21:B21"/>
    <mergeCell ref="K12:K13"/>
    <mergeCell ref="Q14:W14"/>
    <mergeCell ref="A24:F24"/>
    <mergeCell ref="A17:B17"/>
    <mergeCell ref="A18:B18"/>
    <mergeCell ref="A19:B19"/>
    <mergeCell ref="A20:B20"/>
    <mergeCell ref="A22:B22"/>
    <mergeCell ref="A23:B23"/>
    <mergeCell ref="L12:L13"/>
    <mergeCell ref="A6:P6"/>
    <mergeCell ref="A7:P7"/>
    <mergeCell ref="A8:F8"/>
    <mergeCell ref="G8:P8"/>
    <mergeCell ref="C11:F11"/>
    <mergeCell ref="G11:J11"/>
    <mergeCell ref="K11:L11"/>
    <mergeCell ref="A9:F9"/>
  </mergeCells>
  <dataValidations count="2">
    <dataValidation type="list" allowBlank="1" showInputMessage="1" showErrorMessage="1" sqref="BA13:BA15">
      <formula1>$BA$13:$BA$15</formula1>
    </dataValidation>
    <dataValidation type="list" allowBlank="1" showInputMessage="1" showErrorMessage="1" sqref="M15:M23">
      <formula1>$BA$13:$BA$16</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'AÇÕES ESTRATÉGICAS - DESCRIÇÃO '!$C$2:$C$22</xm:f>
          </x14:formula1>
          <xm:sqref>E20:E23</xm:sqref>
        </x14:dataValidation>
        <x14:dataValidation type="list" allowBlank="1" showInputMessage="1" showErrorMessage="1">
          <x14:formula1>
            <xm:f>[3]Resumo!#REF!</xm:f>
          </x14:formula1>
          <xm:sqref>E19</xm:sqref>
        </x14:dataValidation>
        <x14:dataValidation type="list" allowBlank="1" showInputMessage="1" showErrorMessage="1">
          <x14:formula1>
            <xm:f>'[3]Ações Estratégicas - Descrição'!#REF!</xm:f>
          </x14:formula1>
          <xm:sqref>E16:E18</xm:sqref>
        </x14:dataValidation>
        <x14:dataValidation type="list" allowBlank="1" showInputMessage="1" showErrorMessage="1">
          <x14:formula1>
            <xm:f>[4]Resumo!#REF!</xm:f>
          </x14:formula1>
          <xm:sqref>E15</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topLeftCell="B1" zoomScale="30" zoomScaleNormal="30" workbookViewId="0">
      <selection activeCell="AX1" sqref="AX1"/>
    </sheetView>
  </sheetViews>
  <sheetFormatPr defaultRowHeight="64.5" x14ac:dyDescent="0.95"/>
  <cols>
    <col min="2" max="2" width="94.85546875" bestFit="1" customWidth="1"/>
    <col min="5" max="5" width="39.5703125" customWidth="1"/>
    <col min="6" max="6" width="59.5703125" customWidth="1"/>
    <col min="14" max="14" width="97.28515625" customWidth="1"/>
    <col min="17" max="17" width="132.85546875" style="138" bestFit="1" customWidth="1"/>
  </cols>
  <sheetData>
    <row r="1" spans="1:17" x14ac:dyDescent="0.95">
      <c r="A1" s="117"/>
      <c r="B1" s="118" t="s">
        <v>195</v>
      </c>
      <c r="C1" s="116"/>
      <c r="D1" s="116"/>
      <c r="E1" s="116"/>
      <c r="F1" s="109" t="s">
        <v>86</v>
      </c>
      <c r="G1" s="116"/>
      <c r="H1" s="117"/>
      <c r="I1" s="117"/>
      <c r="N1" s="131" t="s">
        <v>281</v>
      </c>
      <c r="Q1" s="138" t="s">
        <v>37</v>
      </c>
    </row>
    <row r="2" spans="1:17" x14ac:dyDescent="0.95">
      <c r="A2" s="117"/>
      <c r="B2" s="118" t="s">
        <v>203</v>
      </c>
      <c r="C2" s="116"/>
      <c r="D2" s="116"/>
      <c r="E2" s="116"/>
      <c r="F2" s="109" t="s">
        <v>60</v>
      </c>
      <c r="G2" s="116"/>
      <c r="H2" s="117"/>
      <c r="I2" s="117"/>
      <c r="N2" s="131" t="s">
        <v>282</v>
      </c>
      <c r="Q2" s="138" t="s">
        <v>285</v>
      </c>
    </row>
    <row r="3" spans="1:17" x14ac:dyDescent="0.95">
      <c r="A3" s="117"/>
      <c r="B3" s="118" t="s">
        <v>204</v>
      </c>
      <c r="C3" s="116"/>
      <c r="D3" s="116"/>
      <c r="E3" s="116"/>
      <c r="F3" s="558" t="s">
        <v>55</v>
      </c>
      <c r="G3" s="116"/>
      <c r="H3" s="117"/>
      <c r="I3" s="117"/>
      <c r="N3" s="131" t="s">
        <v>226</v>
      </c>
      <c r="Q3" s="138" t="s">
        <v>38</v>
      </c>
    </row>
    <row r="4" spans="1:17" x14ac:dyDescent="0.95">
      <c r="A4" s="117"/>
      <c r="B4" s="118"/>
      <c r="C4" s="116"/>
      <c r="D4" s="116"/>
      <c r="E4" s="116"/>
      <c r="F4" s="558"/>
      <c r="G4" s="116"/>
      <c r="H4" s="117"/>
      <c r="I4" s="117"/>
      <c r="N4" s="131" t="s">
        <v>228</v>
      </c>
      <c r="Q4" s="138" t="s">
        <v>222</v>
      </c>
    </row>
    <row r="5" spans="1:17" x14ac:dyDescent="0.95">
      <c r="A5" s="117"/>
      <c r="B5" s="118" t="s">
        <v>205</v>
      </c>
      <c r="C5" s="116"/>
      <c r="D5" s="116"/>
      <c r="E5" s="116"/>
      <c r="F5" s="119" t="s">
        <v>266</v>
      </c>
      <c r="G5" s="119"/>
      <c r="H5" s="119"/>
      <c r="I5" s="119"/>
      <c r="J5" s="119"/>
      <c r="N5" s="132" t="s">
        <v>230</v>
      </c>
      <c r="Q5" s="138" t="s">
        <v>40</v>
      </c>
    </row>
    <row r="6" spans="1:17" ht="236.25" customHeight="1" x14ac:dyDescent="0.95">
      <c r="A6" s="117"/>
      <c r="B6" s="118" t="s">
        <v>196</v>
      </c>
      <c r="C6" s="116"/>
      <c r="D6" s="116"/>
      <c r="E6" s="116"/>
      <c r="F6" s="119" t="s">
        <v>267</v>
      </c>
      <c r="G6" s="116"/>
      <c r="H6" s="117"/>
      <c r="I6" s="117"/>
      <c r="N6" s="132" t="s">
        <v>232</v>
      </c>
      <c r="Q6" s="138" t="s">
        <v>247</v>
      </c>
    </row>
    <row r="7" spans="1:17" x14ac:dyDescent="0.95">
      <c r="A7" s="117"/>
      <c r="B7" s="118" t="s">
        <v>206</v>
      </c>
      <c r="C7" s="116"/>
      <c r="D7" s="116"/>
      <c r="E7" s="116"/>
      <c r="F7" s="119" t="s">
        <v>268</v>
      </c>
      <c r="G7" s="116"/>
      <c r="H7" s="117"/>
      <c r="I7" s="117"/>
      <c r="N7" s="132" t="s">
        <v>234</v>
      </c>
      <c r="Q7" s="138" t="s">
        <v>286</v>
      </c>
    </row>
    <row r="8" spans="1:17" x14ac:dyDescent="0.95">
      <c r="A8" s="117"/>
      <c r="B8" s="118" t="s">
        <v>216</v>
      </c>
      <c r="C8" s="116"/>
      <c r="D8" s="116"/>
      <c r="E8" s="116"/>
      <c r="F8" s="119" t="s">
        <v>269</v>
      </c>
      <c r="G8" s="116"/>
      <c r="H8" s="117"/>
      <c r="I8" s="117"/>
      <c r="N8" s="131" t="s">
        <v>237</v>
      </c>
      <c r="Q8" s="138" t="s">
        <v>236</v>
      </c>
    </row>
    <row r="9" spans="1:17" x14ac:dyDescent="0.95">
      <c r="A9" s="117"/>
      <c r="B9" s="118" t="s">
        <v>197</v>
      </c>
      <c r="C9" s="116"/>
      <c r="D9" s="116"/>
      <c r="E9" s="116"/>
      <c r="F9" s="119" t="s">
        <v>270</v>
      </c>
      <c r="G9" s="116"/>
      <c r="H9" s="117"/>
      <c r="I9" s="117"/>
      <c r="N9" s="131" t="s">
        <v>239</v>
      </c>
      <c r="Q9" s="138" t="s">
        <v>43</v>
      </c>
    </row>
    <row r="10" spans="1:17" x14ac:dyDescent="0.95">
      <c r="A10" s="117"/>
      <c r="B10" s="118" t="s">
        <v>207</v>
      </c>
      <c r="C10" s="116"/>
      <c r="D10" s="116"/>
      <c r="E10" s="116"/>
      <c r="F10" s="136" t="s">
        <v>290</v>
      </c>
      <c r="G10" s="116"/>
      <c r="H10" s="117"/>
      <c r="I10" s="117"/>
      <c r="N10" s="132" t="s">
        <v>241</v>
      </c>
      <c r="Q10" s="138" t="s">
        <v>44</v>
      </c>
    </row>
    <row r="11" spans="1:17" x14ac:dyDescent="0.95">
      <c r="A11" s="117"/>
      <c r="B11" s="118" t="s">
        <v>198</v>
      </c>
      <c r="C11" s="116"/>
      <c r="D11" s="116"/>
      <c r="E11" s="116"/>
      <c r="F11" s="116" t="s">
        <v>57</v>
      </c>
      <c r="G11" s="116"/>
      <c r="H11" s="117"/>
      <c r="I11" s="117"/>
      <c r="N11" s="131" t="s">
        <v>243</v>
      </c>
      <c r="Q11" s="138" t="s">
        <v>45</v>
      </c>
    </row>
    <row r="12" spans="1:17" x14ac:dyDescent="0.95">
      <c r="A12" s="117"/>
      <c r="B12" s="118" t="s">
        <v>199</v>
      </c>
      <c r="C12" s="116"/>
      <c r="D12" s="116"/>
      <c r="E12" s="116"/>
      <c r="F12" s="116" t="s">
        <v>3</v>
      </c>
      <c r="G12" s="116"/>
      <c r="H12" s="117"/>
      <c r="I12" s="117"/>
      <c r="N12" s="131" t="s">
        <v>245</v>
      </c>
      <c r="Q12" s="138" t="s">
        <v>46</v>
      </c>
    </row>
    <row r="13" spans="1:17" x14ac:dyDescent="0.95">
      <c r="A13" s="117"/>
      <c r="B13" s="118" t="s">
        <v>208</v>
      </c>
      <c r="C13" s="116"/>
      <c r="D13" s="116"/>
      <c r="E13" s="116"/>
      <c r="F13" s="116"/>
      <c r="G13" s="116"/>
      <c r="H13" s="117"/>
      <c r="I13" s="117"/>
      <c r="N13" s="132" t="s">
        <v>248</v>
      </c>
      <c r="Q13" s="138" t="s">
        <v>47</v>
      </c>
    </row>
    <row r="14" spans="1:17" x14ac:dyDescent="0.95">
      <c r="A14" s="117"/>
      <c r="B14" s="118" t="s">
        <v>209</v>
      </c>
      <c r="C14" s="116"/>
      <c r="D14" s="116"/>
      <c r="E14" s="116"/>
      <c r="F14" s="116"/>
      <c r="G14" s="116"/>
      <c r="H14" s="117"/>
      <c r="I14" s="117"/>
      <c r="N14" s="132" t="s">
        <v>250</v>
      </c>
      <c r="Q14" s="138" t="s">
        <v>48</v>
      </c>
    </row>
    <row r="15" spans="1:17" ht="110.25" customHeight="1" x14ac:dyDescent="0.95">
      <c r="A15" s="117"/>
      <c r="B15" s="118" t="s">
        <v>200</v>
      </c>
      <c r="C15" s="116"/>
      <c r="D15" s="116"/>
      <c r="E15" s="116"/>
      <c r="F15" s="116"/>
      <c r="G15" s="116"/>
      <c r="H15" s="117"/>
      <c r="I15" s="117"/>
      <c r="N15" s="131" t="s">
        <v>252</v>
      </c>
      <c r="Q15" s="138" t="s">
        <v>49</v>
      </c>
    </row>
    <row r="16" spans="1:17" x14ac:dyDescent="0.95">
      <c r="A16" s="117"/>
      <c r="B16" s="118" t="s">
        <v>210</v>
      </c>
      <c r="C16" s="116"/>
      <c r="D16" s="116"/>
      <c r="E16" s="116"/>
      <c r="F16" s="116"/>
      <c r="G16" s="116"/>
      <c r="H16" s="117"/>
      <c r="I16" s="117"/>
      <c r="N16" s="131" t="s">
        <v>254</v>
      </c>
      <c r="Q16" s="138" t="s">
        <v>50</v>
      </c>
    </row>
    <row r="17" spans="1:14" x14ac:dyDescent="0.95">
      <c r="A17" s="117"/>
      <c r="B17" s="118" t="s">
        <v>201</v>
      </c>
      <c r="C17" s="116"/>
      <c r="D17" s="116"/>
      <c r="E17" s="116"/>
      <c r="F17" s="116"/>
      <c r="G17" s="116"/>
      <c r="H17" s="117"/>
      <c r="I17" s="117"/>
      <c r="N17" s="131" t="s">
        <v>256</v>
      </c>
    </row>
    <row r="18" spans="1:14" x14ac:dyDescent="0.95">
      <c r="A18" s="117"/>
      <c r="B18" s="118" t="s">
        <v>202</v>
      </c>
      <c r="C18" s="116"/>
      <c r="D18" s="116"/>
      <c r="E18" s="116"/>
      <c r="F18" s="116"/>
      <c r="G18" s="116"/>
      <c r="H18" s="117"/>
      <c r="I18" s="117"/>
      <c r="N18" s="132" t="s">
        <v>258</v>
      </c>
    </row>
    <row r="19" spans="1:14" x14ac:dyDescent="0.95">
      <c r="N19" s="132" t="s">
        <v>260</v>
      </c>
    </row>
    <row r="20" spans="1:14" x14ac:dyDescent="0.95">
      <c r="N20" s="132" t="s">
        <v>262</v>
      </c>
    </row>
    <row r="21" spans="1:14" x14ac:dyDescent="0.95">
      <c r="N21" s="132" t="s">
        <v>264</v>
      </c>
    </row>
  </sheetData>
  <mergeCells count="1">
    <mergeCell ref="F3:F4"/>
  </mergeCells>
  <pageMargins left="0.511811024" right="0.511811024" top="0.78740157499999996" bottom="0.78740157499999996" header="0.31496062000000002" footer="0.31496062000000002"/>
  <pageSetup paperSize="28"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80" zoomScaleNormal="80" workbookViewId="0">
      <selection activeCell="A19" sqref="A19:C22"/>
    </sheetView>
  </sheetViews>
  <sheetFormatPr defaultRowHeight="21" x14ac:dyDescent="0.35"/>
  <cols>
    <col min="1" max="1" width="39.28515625" style="127" customWidth="1"/>
    <col min="2" max="2" width="17.5703125" style="127" customWidth="1"/>
    <col min="3" max="4" width="54.7109375" style="127" customWidth="1"/>
    <col min="8" max="8" width="50.28515625" customWidth="1"/>
  </cols>
  <sheetData>
    <row r="1" spans="1:8" x14ac:dyDescent="0.25">
      <c r="A1" s="121" t="s">
        <v>218</v>
      </c>
      <c r="B1" s="121" t="s">
        <v>219</v>
      </c>
      <c r="C1" s="121" t="s">
        <v>220</v>
      </c>
      <c r="D1" s="121" t="s">
        <v>221</v>
      </c>
    </row>
    <row r="2" spans="1:8" s="134" customFormat="1" x14ac:dyDescent="0.25">
      <c r="A2" s="617"/>
      <c r="B2" s="618"/>
      <c r="C2" s="160" t="s">
        <v>281</v>
      </c>
      <c r="D2" s="159"/>
    </row>
    <row r="3" spans="1:8" ht="120" customHeight="1" x14ac:dyDescent="0.25">
      <c r="A3" s="625" t="s">
        <v>222</v>
      </c>
      <c r="B3" s="122" t="s">
        <v>223</v>
      </c>
      <c r="C3" s="123" t="s">
        <v>282</v>
      </c>
      <c r="D3" s="123" t="s">
        <v>225</v>
      </c>
      <c r="H3" s="133" t="s">
        <v>283</v>
      </c>
    </row>
    <row r="4" spans="1:8" ht="120" customHeight="1" x14ac:dyDescent="0.25">
      <c r="A4" s="626"/>
      <c r="B4" s="122" t="s">
        <v>223</v>
      </c>
      <c r="C4" s="123" t="s">
        <v>226</v>
      </c>
      <c r="D4" s="123" t="s">
        <v>227</v>
      </c>
    </row>
    <row r="5" spans="1:8" ht="120" customHeight="1" x14ac:dyDescent="0.25">
      <c r="A5" s="627"/>
      <c r="B5" s="122" t="s">
        <v>223</v>
      </c>
      <c r="C5" s="123" t="s">
        <v>228</v>
      </c>
      <c r="D5" s="123" t="s">
        <v>229</v>
      </c>
    </row>
    <row r="6" spans="1:8" ht="120" customHeight="1" x14ac:dyDescent="0.25">
      <c r="A6" s="622" t="s">
        <v>43</v>
      </c>
      <c r="B6" s="124" t="s">
        <v>223</v>
      </c>
      <c r="C6" s="125" t="s">
        <v>230</v>
      </c>
      <c r="D6" s="125" t="s">
        <v>231</v>
      </c>
    </row>
    <row r="7" spans="1:8" ht="120" customHeight="1" x14ac:dyDescent="0.25">
      <c r="A7" s="623"/>
      <c r="B7" s="124" t="s">
        <v>223</v>
      </c>
      <c r="C7" s="125" t="s">
        <v>232</v>
      </c>
      <c r="D7" s="125" t="s">
        <v>233</v>
      </c>
    </row>
    <row r="8" spans="1:8" ht="120" customHeight="1" x14ac:dyDescent="0.25">
      <c r="A8" s="624"/>
      <c r="B8" s="124" t="s">
        <v>223</v>
      </c>
      <c r="C8" s="125" t="s">
        <v>234</v>
      </c>
      <c r="D8" s="125" t="s">
        <v>235</v>
      </c>
    </row>
    <row r="9" spans="1:8" ht="120" customHeight="1" x14ac:dyDescent="0.25">
      <c r="A9" s="619" t="s">
        <v>236</v>
      </c>
      <c r="B9" s="122" t="s">
        <v>223</v>
      </c>
      <c r="C9" s="123" t="s">
        <v>237</v>
      </c>
      <c r="D9" s="123" t="s">
        <v>238</v>
      </c>
    </row>
    <row r="10" spans="1:8" ht="120" customHeight="1" x14ac:dyDescent="0.25">
      <c r="A10" s="621"/>
      <c r="B10" s="122" t="s">
        <v>223</v>
      </c>
      <c r="C10" s="123" t="s">
        <v>239</v>
      </c>
      <c r="D10" s="123" t="s">
        <v>240</v>
      </c>
    </row>
    <row r="11" spans="1:8" ht="120" customHeight="1" x14ac:dyDescent="0.25">
      <c r="A11" s="126" t="s">
        <v>40</v>
      </c>
      <c r="B11" s="124" t="s">
        <v>223</v>
      </c>
      <c r="C11" s="125" t="s">
        <v>241</v>
      </c>
      <c r="D11" s="125" t="s">
        <v>242</v>
      </c>
    </row>
    <row r="12" spans="1:8" ht="120" customHeight="1" x14ac:dyDescent="0.25">
      <c r="A12" s="625" t="s">
        <v>45</v>
      </c>
      <c r="B12" s="122" t="s">
        <v>223</v>
      </c>
      <c r="C12" s="123" t="s">
        <v>243</v>
      </c>
      <c r="D12" s="123" t="s">
        <v>244</v>
      </c>
    </row>
    <row r="13" spans="1:8" ht="120" customHeight="1" x14ac:dyDescent="0.25">
      <c r="A13" s="627"/>
      <c r="B13" s="122" t="s">
        <v>223</v>
      </c>
      <c r="C13" s="123" t="s">
        <v>245</v>
      </c>
      <c r="D13" s="123" t="s">
        <v>246</v>
      </c>
    </row>
    <row r="14" spans="1:8" ht="120" customHeight="1" x14ac:dyDescent="0.25">
      <c r="A14" s="628" t="s">
        <v>247</v>
      </c>
      <c r="B14" s="124" t="s">
        <v>223</v>
      </c>
      <c r="C14" s="125" t="s">
        <v>248</v>
      </c>
      <c r="D14" s="125" t="s">
        <v>249</v>
      </c>
    </row>
    <row r="15" spans="1:8" ht="120" customHeight="1" x14ac:dyDescent="0.25">
      <c r="A15" s="629"/>
      <c r="B15" s="124" t="s">
        <v>223</v>
      </c>
      <c r="C15" s="125" t="s">
        <v>250</v>
      </c>
      <c r="D15" s="125" t="s">
        <v>251</v>
      </c>
    </row>
    <row r="16" spans="1:8" ht="120" customHeight="1" x14ac:dyDescent="0.25">
      <c r="A16" s="619" t="s">
        <v>44</v>
      </c>
      <c r="B16" s="122" t="s">
        <v>223</v>
      </c>
      <c r="C16" s="123" t="s">
        <v>252</v>
      </c>
      <c r="D16" s="123" t="s">
        <v>253</v>
      </c>
    </row>
    <row r="17" spans="1:4" ht="120" customHeight="1" x14ac:dyDescent="0.25">
      <c r="A17" s="620"/>
      <c r="B17" s="122" t="s">
        <v>223</v>
      </c>
      <c r="C17" s="123" t="s">
        <v>254</v>
      </c>
      <c r="D17" s="123" t="s">
        <v>255</v>
      </c>
    </row>
    <row r="18" spans="1:4" ht="120" customHeight="1" x14ac:dyDescent="0.25">
      <c r="A18" s="621"/>
      <c r="B18" s="122" t="s">
        <v>223</v>
      </c>
      <c r="C18" s="123" t="s">
        <v>256</v>
      </c>
      <c r="D18" s="123" t="s">
        <v>257</v>
      </c>
    </row>
    <row r="19" spans="1:4" ht="120" customHeight="1" x14ac:dyDescent="0.25">
      <c r="A19" s="622" t="s">
        <v>38</v>
      </c>
      <c r="B19" s="124" t="s">
        <v>223</v>
      </c>
      <c r="C19" s="125" t="s">
        <v>258</v>
      </c>
      <c r="D19" s="125" t="s">
        <v>259</v>
      </c>
    </row>
    <row r="20" spans="1:4" ht="120" customHeight="1" x14ac:dyDescent="0.25">
      <c r="A20" s="623"/>
      <c r="B20" s="124" t="s">
        <v>223</v>
      </c>
      <c r="C20" s="125" t="s">
        <v>260</v>
      </c>
      <c r="D20" s="125" t="s">
        <v>261</v>
      </c>
    </row>
    <row r="21" spans="1:4" ht="120" customHeight="1" x14ac:dyDescent="0.25">
      <c r="A21" s="623"/>
      <c r="B21" s="124" t="s">
        <v>223</v>
      </c>
      <c r="C21" s="125" t="s">
        <v>262</v>
      </c>
      <c r="D21" s="125" t="s">
        <v>263</v>
      </c>
    </row>
    <row r="22" spans="1:4" ht="120" customHeight="1" x14ac:dyDescent="0.25">
      <c r="A22" s="624"/>
      <c r="B22" s="124" t="s">
        <v>223</v>
      </c>
      <c r="C22" s="125" t="s">
        <v>264</v>
      </c>
      <c r="D22" s="125" t="s">
        <v>265</v>
      </c>
    </row>
  </sheetData>
  <mergeCells count="8">
    <mergeCell ref="A2:B2"/>
    <mergeCell ref="A16:A18"/>
    <mergeCell ref="A19:A22"/>
    <mergeCell ref="A3:A5"/>
    <mergeCell ref="A6:A8"/>
    <mergeCell ref="A9:A10"/>
    <mergeCell ref="A12:A13"/>
    <mergeCell ref="A14:A15"/>
  </mergeCells>
  <pageMargins left="0.511811024" right="0.511811024" top="0.78740157499999996" bottom="0.78740157499999996" header="0.31496062000000002" footer="0.3149606200000000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5">
    <pageSetUpPr fitToPage="1"/>
  </sheetPr>
  <dimension ref="A2:AF52"/>
  <sheetViews>
    <sheetView showGridLines="0" view="pageBreakPreview" topLeftCell="A19" zoomScale="42" zoomScaleNormal="50" zoomScaleSheetLayoutView="42" workbookViewId="0">
      <selection activeCell="I42" sqref="I42:L42"/>
    </sheetView>
  </sheetViews>
  <sheetFormatPr defaultColWidth="9.140625" defaultRowHeight="26.25" x14ac:dyDescent="0.4"/>
  <cols>
    <col min="1" max="1" width="28.7109375" style="1" customWidth="1"/>
    <col min="2" max="2" width="10.42578125" style="1" customWidth="1"/>
    <col min="3" max="3" width="23.42578125" style="1" customWidth="1"/>
    <col min="4" max="4" width="10.5703125" style="1" hidden="1" customWidth="1"/>
    <col min="5" max="5" width="45.85546875" style="1" customWidth="1"/>
    <col min="6" max="6" width="40" style="1" customWidth="1"/>
    <col min="7" max="7" width="85.85546875" style="1" customWidth="1"/>
    <col min="8" max="8" width="85.85546875" style="1" hidden="1" customWidth="1"/>
    <col min="9" max="9" width="100.140625" style="1" customWidth="1"/>
    <col min="10" max="12" width="28.28515625" style="1" customWidth="1"/>
    <col min="13" max="14" width="28.7109375" style="1" customWidth="1"/>
    <col min="15" max="16" width="27.28515625" style="1" hidden="1" customWidth="1"/>
    <col min="17" max="17" width="24.28515625" style="1" customWidth="1"/>
    <col min="18" max="18" width="29.28515625" style="1" customWidth="1"/>
    <col min="19" max="22" width="22.85546875" style="42" hidden="1" customWidth="1"/>
    <col min="23" max="23" width="63.7109375" style="42" hidden="1" customWidth="1"/>
    <col min="24" max="24" width="22.85546875" style="42" hidden="1" customWidth="1"/>
    <col min="25" max="25" width="9.140625" style="42" hidden="1" customWidth="1"/>
    <col min="26" max="26" width="19.85546875" style="42" hidden="1" customWidth="1"/>
    <col min="27" max="27" width="22.85546875" style="42" hidden="1" customWidth="1"/>
    <col min="28" max="28" width="24.42578125" style="1" bestFit="1" customWidth="1"/>
    <col min="29" max="29" width="31.140625" style="1" customWidth="1"/>
    <col min="30" max="30" width="25.5703125" style="1" bestFit="1" customWidth="1"/>
    <col min="31" max="31" width="21" style="1" bestFit="1" customWidth="1"/>
    <col min="32" max="16384" width="9.140625" style="1"/>
  </cols>
  <sheetData>
    <row r="2" spans="1:27" ht="86.25" customHeight="1" x14ac:dyDescent="0.4"/>
    <row r="3" spans="1:27" s="3" customFormat="1" ht="27" customHeight="1" x14ac:dyDescent="0.25">
      <c r="A3" s="455" t="str">
        <f>'Indicadores e Metas'!A3:F3</f>
        <v>CAU/BA</v>
      </c>
      <c r="B3" s="455"/>
      <c r="C3" s="455"/>
      <c r="D3" s="455"/>
      <c r="E3" s="455"/>
      <c r="F3" s="455"/>
      <c r="G3" s="455"/>
      <c r="H3" s="455"/>
      <c r="I3" s="455"/>
      <c r="J3" s="455"/>
      <c r="K3" s="455"/>
      <c r="L3" s="455"/>
      <c r="M3" s="455"/>
      <c r="N3" s="455"/>
      <c r="O3" s="455"/>
      <c r="P3" s="455"/>
      <c r="Q3" s="455"/>
      <c r="R3" s="455"/>
      <c r="S3" s="116"/>
      <c r="T3" s="116"/>
      <c r="U3" s="116"/>
      <c r="V3" s="116"/>
      <c r="W3" s="116"/>
      <c r="X3" s="116"/>
      <c r="Y3" s="116"/>
      <c r="Z3" s="116"/>
      <c r="AA3" s="116"/>
    </row>
    <row r="4" spans="1:27" s="3" customFormat="1" ht="27" customHeight="1" x14ac:dyDescent="0.25">
      <c r="A4" s="455" t="s">
        <v>349</v>
      </c>
      <c r="B4" s="455"/>
      <c r="C4" s="455"/>
      <c r="D4" s="455"/>
      <c r="E4" s="455"/>
      <c r="F4" s="455"/>
      <c r="G4" s="455"/>
      <c r="H4" s="455"/>
      <c r="I4" s="455"/>
      <c r="J4" s="455"/>
      <c r="K4" s="455"/>
      <c r="L4" s="455"/>
      <c r="M4" s="455"/>
      <c r="N4" s="455"/>
      <c r="O4" s="455"/>
      <c r="P4" s="455"/>
      <c r="Q4" s="455"/>
      <c r="R4" s="455"/>
      <c r="S4" s="116"/>
      <c r="T4" s="116"/>
      <c r="U4" s="116"/>
      <c r="V4" s="116"/>
      <c r="W4" s="116"/>
      <c r="X4" s="116"/>
      <c r="Y4" s="116"/>
      <c r="Z4" s="116"/>
      <c r="AA4" s="116"/>
    </row>
    <row r="5" spans="1:27" s="30" customFormat="1" ht="32.25" customHeight="1" x14ac:dyDescent="0.4">
      <c r="A5" s="45"/>
      <c r="B5" s="45"/>
      <c r="C5" s="45"/>
      <c r="D5" s="45"/>
      <c r="E5" s="45"/>
      <c r="F5" s="45"/>
      <c r="G5" s="45"/>
      <c r="H5" s="45"/>
      <c r="I5" s="45"/>
      <c r="J5" s="45"/>
      <c r="K5" s="45"/>
      <c r="L5" s="45"/>
      <c r="M5" s="45"/>
      <c r="N5" s="45"/>
      <c r="O5" s="45"/>
      <c r="P5" s="45"/>
      <c r="Q5" s="45"/>
      <c r="R5" s="45"/>
      <c r="S5" s="244"/>
      <c r="T5" s="244"/>
      <c r="U5" s="244"/>
      <c r="V5" s="244"/>
      <c r="W5" s="244"/>
      <c r="X5" s="244"/>
      <c r="Y5" s="244"/>
      <c r="Z5" s="244"/>
      <c r="AA5" s="244"/>
    </row>
    <row r="6" spans="1:27" s="3" customFormat="1" ht="26.25" customHeight="1" x14ac:dyDescent="0.35">
      <c r="A6" s="466" t="s">
        <v>90</v>
      </c>
      <c r="B6" s="466"/>
      <c r="C6" s="466"/>
      <c r="D6" s="466"/>
      <c r="E6" s="466"/>
      <c r="F6" s="466"/>
      <c r="G6" s="466"/>
      <c r="H6" s="466"/>
      <c r="I6" s="466"/>
      <c r="J6" s="466"/>
      <c r="K6" s="466"/>
      <c r="L6" s="466"/>
      <c r="M6" s="466"/>
      <c r="N6" s="466"/>
      <c r="O6" s="466"/>
      <c r="P6" s="466"/>
      <c r="Q6" s="466"/>
      <c r="R6" s="466" t="s">
        <v>34</v>
      </c>
      <c r="S6" s="116"/>
      <c r="T6" s="116"/>
      <c r="U6" s="116"/>
      <c r="V6" s="116"/>
      <c r="W6" s="116"/>
      <c r="X6" s="116"/>
      <c r="Y6" s="116"/>
      <c r="Z6" s="116"/>
      <c r="AA6" s="116"/>
    </row>
    <row r="7" spans="1:27" s="3" customFormat="1" ht="39" customHeight="1" x14ac:dyDescent="0.25">
      <c r="A7" s="473" t="s">
        <v>14</v>
      </c>
      <c r="B7" s="456" t="s">
        <v>294</v>
      </c>
      <c r="C7" s="475" t="s">
        <v>301</v>
      </c>
      <c r="D7" s="469" t="s">
        <v>302</v>
      </c>
      <c r="E7" s="456" t="s">
        <v>15</v>
      </c>
      <c r="F7" s="456" t="s">
        <v>72</v>
      </c>
      <c r="G7" s="456" t="s">
        <v>52</v>
      </c>
      <c r="H7" s="464" t="s">
        <v>280</v>
      </c>
      <c r="I7" s="457" t="s">
        <v>91</v>
      </c>
      <c r="J7" s="456" t="s">
        <v>300</v>
      </c>
      <c r="K7" s="467" t="s">
        <v>304</v>
      </c>
      <c r="L7" s="468"/>
      <c r="M7" s="460" t="s">
        <v>303</v>
      </c>
      <c r="N7" s="471" t="s">
        <v>364</v>
      </c>
      <c r="O7" s="458" t="s">
        <v>365</v>
      </c>
      <c r="P7" s="458" t="s">
        <v>366</v>
      </c>
      <c r="Q7" s="457" t="s">
        <v>335</v>
      </c>
      <c r="R7" s="457"/>
      <c r="S7" s="116"/>
      <c r="T7" s="116"/>
      <c r="U7" s="116"/>
      <c r="V7" s="116"/>
      <c r="W7" s="116"/>
      <c r="X7" s="116"/>
      <c r="Y7" s="116"/>
      <c r="Z7" s="116"/>
      <c r="AA7" s="116"/>
    </row>
    <row r="8" spans="1:27" s="3" customFormat="1" ht="95.25" customHeight="1" x14ac:dyDescent="0.25">
      <c r="A8" s="474"/>
      <c r="B8" s="457"/>
      <c r="C8" s="476"/>
      <c r="D8" s="470"/>
      <c r="E8" s="457"/>
      <c r="F8" s="457"/>
      <c r="G8" s="457"/>
      <c r="H8" s="465"/>
      <c r="I8" s="457"/>
      <c r="J8" s="457"/>
      <c r="K8" s="147" t="s">
        <v>346</v>
      </c>
      <c r="L8" s="148" t="s">
        <v>347</v>
      </c>
      <c r="M8" s="456"/>
      <c r="N8" s="472"/>
      <c r="O8" s="459"/>
      <c r="P8" s="459"/>
      <c r="Q8" s="191" t="s">
        <v>367</v>
      </c>
      <c r="R8" s="192" t="s">
        <v>368</v>
      </c>
      <c r="S8" s="116"/>
      <c r="T8" s="116"/>
      <c r="U8" s="116"/>
      <c r="V8" s="116"/>
      <c r="W8" s="116"/>
      <c r="X8" s="116"/>
      <c r="Y8" s="116"/>
      <c r="Z8" s="116"/>
      <c r="AA8" s="116"/>
    </row>
    <row r="9" spans="1:27" s="3" customFormat="1" ht="83.25" customHeight="1" x14ac:dyDescent="0.25">
      <c r="A9" s="47" t="s">
        <v>397</v>
      </c>
      <c r="B9" s="46" t="s">
        <v>398</v>
      </c>
      <c r="C9" s="46" t="s">
        <v>512</v>
      </c>
      <c r="D9" s="46"/>
      <c r="E9" s="47" t="s">
        <v>416</v>
      </c>
      <c r="F9" s="47" t="s">
        <v>417</v>
      </c>
      <c r="G9" s="47" t="s">
        <v>43</v>
      </c>
      <c r="H9" s="47"/>
      <c r="I9" s="47" t="s">
        <v>480</v>
      </c>
      <c r="J9" s="228">
        <v>177515.73</v>
      </c>
      <c r="K9" s="228">
        <v>35024.019999999997</v>
      </c>
      <c r="L9" s="228">
        <v>45504.22</v>
      </c>
      <c r="M9" s="229">
        <f>K9+L9</f>
        <v>80528.239999999991</v>
      </c>
      <c r="N9" s="78"/>
      <c r="O9" s="173"/>
      <c r="P9" s="173">
        <f>IFERROR(O9/M9*100,)</f>
        <v>0</v>
      </c>
      <c r="Q9" s="79">
        <f>M9-J9</f>
        <v>-96987.49000000002</v>
      </c>
      <c r="R9" s="246">
        <f>IFERROR(Q9/J9*100,)</f>
        <v>-54.635997609901956</v>
      </c>
      <c r="S9" s="116" t="b">
        <f>A9=[2]FORM.2!A7</f>
        <v>1</v>
      </c>
      <c r="T9" s="116" t="b">
        <f>E9=[2]FORM.2!D7</f>
        <v>1</v>
      </c>
      <c r="U9" s="116" t="b">
        <f>F9=[2]FORM.2!E7</f>
        <v>1</v>
      </c>
      <c r="V9" s="116" t="b">
        <f>G9=[2]FORM.2!F7</f>
        <v>1</v>
      </c>
      <c r="W9" s="116" t="b">
        <f>I9=[2]FORM.2!H7</f>
        <v>1</v>
      </c>
      <c r="X9" s="116" t="b">
        <f>J9=[2]FORM.2!J7</f>
        <v>1</v>
      </c>
      <c r="Y9" s="116"/>
      <c r="Z9" s="245" t="e">
        <f>#REF!</f>
        <v>#REF!</v>
      </c>
      <c r="AA9" s="116" t="e">
        <f>Z9=$K9</f>
        <v>#REF!</v>
      </c>
    </row>
    <row r="10" spans="1:27" s="3" customFormat="1" ht="168" x14ac:dyDescent="0.25">
      <c r="A10" s="47" t="s">
        <v>399</v>
      </c>
      <c r="B10" s="46" t="s">
        <v>398</v>
      </c>
      <c r="C10" s="46" t="s">
        <v>512</v>
      </c>
      <c r="D10" s="46"/>
      <c r="E10" s="47" t="s">
        <v>418</v>
      </c>
      <c r="F10" s="47" t="s">
        <v>419</v>
      </c>
      <c r="G10" s="47" t="s">
        <v>49</v>
      </c>
      <c r="H10" s="47"/>
      <c r="I10" s="47" t="s">
        <v>481</v>
      </c>
      <c r="J10" s="228">
        <v>600626.67000000004</v>
      </c>
      <c r="K10" s="228">
        <v>233458.1</v>
      </c>
      <c r="L10" s="228">
        <v>384713.86</v>
      </c>
      <c r="M10" s="229">
        <f t="shared" ref="M10:M38" si="0">K10+L10</f>
        <v>618171.96</v>
      </c>
      <c r="N10" s="78"/>
      <c r="O10" s="173"/>
      <c r="P10" s="173">
        <f t="shared" ref="P10:P38" si="1">IFERROR(O10/M10*100,)</f>
        <v>0</v>
      </c>
      <c r="Q10" s="79">
        <f t="shared" ref="Q10:Q30" si="2">M10-J10</f>
        <v>17545.289999999921</v>
      </c>
      <c r="R10" s="246">
        <f t="shared" ref="R10:R41" si="3">IFERROR(Q10/J10*100,)</f>
        <v>2.9211639902703488</v>
      </c>
      <c r="S10" s="116" t="b">
        <f>A10=[2]FORM.2!A8</f>
        <v>1</v>
      </c>
      <c r="T10" s="116" t="b">
        <f>E10=[2]FORM.2!D8</f>
        <v>1</v>
      </c>
      <c r="U10" s="116" t="b">
        <f>F10=[2]FORM.2!E8</f>
        <v>1</v>
      </c>
      <c r="V10" s="116" t="b">
        <f>G10=[2]FORM.2!F8</f>
        <v>1</v>
      </c>
      <c r="W10" s="116" t="b">
        <f>I10=[2]FORM.2!H8</f>
        <v>1</v>
      </c>
      <c r="X10" s="116" t="b">
        <f>J10=[2]FORM.2!J8</f>
        <v>1</v>
      </c>
      <c r="Y10" s="116"/>
      <c r="Z10" s="245" t="e">
        <f>#REF!</f>
        <v>#REF!</v>
      </c>
      <c r="AA10" s="116" t="e">
        <f t="shared" ref="AA10:AA40" si="4">Z10=$K10</f>
        <v>#REF!</v>
      </c>
    </row>
    <row r="11" spans="1:27" s="3" customFormat="1" ht="84" x14ac:dyDescent="0.25">
      <c r="A11" s="47" t="s">
        <v>400</v>
      </c>
      <c r="B11" s="46" t="s">
        <v>398</v>
      </c>
      <c r="C11" s="46" t="s">
        <v>512</v>
      </c>
      <c r="D11" s="46"/>
      <c r="E11" s="47" t="s">
        <v>420</v>
      </c>
      <c r="F11" s="47" t="s">
        <v>421</v>
      </c>
      <c r="G11" s="47" t="s">
        <v>222</v>
      </c>
      <c r="H11" s="47"/>
      <c r="I11" s="47" t="s">
        <v>482</v>
      </c>
      <c r="J11" s="228">
        <v>287629.05</v>
      </c>
      <c r="K11" s="228">
        <v>82460.600000000006</v>
      </c>
      <c r="L11" s="228">
        <v>148293.62</v>
      </c>
      <c r="M11" s="229">
        <f t="shared" si="0"/>
        <v>230754.22</v>
      </c>
      <c r="N11" s="78"/>
      <c r="O11" s="173"/>
      <c r="P11" s="173">
        <f t="shared" si="1"/>
        <v>0</v>
      </c>
      <c r="Q11" s="79">
        <f>M11-J11</f>
        <v>-56874.829999999987</v>
      </c>
      <c r="R11" s="246">
        <f t="shared" si="3"/>
        <v>-19.773673764871798</v>
      </c>
      <c r="S11" s="116" t="b">
        <f>A11=[2]FORM.2!A9</f>
        <v>1</v>
      </c>
      <c r="T11" s="116" t="b">
        <f>E11=[2]FORM.2!D9</f>
        <v>1</v>
      </c>
      <c r="U11" s="116" t="b">
        <f>F11=[2]FORM.2!E9</f>
        <v>1</v>
      </c>
      <c r="V11" s="116" t="b">
        <f>G11=[2]FORM.2!F9</f>
        <v>1</v>
      </c>
      <c r="W11" s="116" t="b">
        <f>I11=[2]FORM.2!H9</f>
        <v>1</v>
      </c>
      <c r="X11" s="116" t="b">
        <f>J11=[2]FORM.2!J9</f>
        <v>1</v>
      </c>
      <c r="Y11" s="116"/>
      <c r="Z11" s="245" t="e">
        <f>#REF!</f>
        <v>#REF!</v>
      </c>
      <c r="AA11" s="116" t="e">
        <f t="shared" si="4"/>
        <v>#REF!</v>
      </c>
    </row>
    <row r="12" spans="1:27" s="3" customFormat="1" ht="168" x14ac:dyDescent="0.25">
      <c r="A12" s="47" t="s">
        <v>401</v>
      </c>
      <c r="B12" s="46" t="s">
        <v>398</v>
      </c>
      <c r="C12" s="46" t="s">
        <v>512</v>
      </c>
      <c r="D12" s="46"/>
      <c r="E12" s="47" t="s">
        <v>422</v>
      </c>
      <c r="F12" s="47" t="s">
        <v>423</v>
      </c>
      <c r="G12" s="47" t="s">
        <v>44</v>
      </c>
      <c r="H12" s="47"/>
      <c r="I12" s="47" t="s">
        <v>483</v>
      </c>
      <c r="J12" s="228">
        <v>123589.73</v>
      </c>
      <c r="K12" s="228">
        <v>0</v>
      </c>
      <c r="L12" s="228">
        <v>24153.65</v>
      </c>
      <c r="M12" s="229">
        <f t="shared" si="0"/>
        <v>24153.65</v>
      </c>
      <c r="N12" s="78"/>
      <c r="O12" s="173"/>
      <c r="P12" s="173">
        <f t="shared" si="1"/>
        <v>0</v>
      </c>
      <c r="Q12" s="79">
        <f t="shared" si="2"/>
        <v>-99436.079999999987</v>
      </c>
      <c r="R12" s="246">
        <f t="shared" si="3"/>
        <v>-80.456588099998271</v>
      </c>
      <c r="S12" s="116" t="b">
        <f>A12=[2]FORM.2!A10</f>
        <v>1</v>
      </c>
      <c r="T12" s="116" t="b">
        <f>E12=[2]FORM.2!D10</f>
        <v>1</v>
      </c>
      <c r="U12" s="116" t="b">
        <f>F12=[2]FORM.2!E10</f>
        <v>1</v>
      </c>
      <c r="V12" s="116" t="b">
        <f>G12=[2]FORM.2!F10</f>
        <v>1</v>
      </c>
      <c r="W12" s="116" t="b">
        <f>I12=[2]FORM.2!H10</f>
        <v>1</v>
      </c>
      <c r="X12" s="116" t="b">
        <f>J12=[2]FORM.2!J10</f>
        <v>1</v>
      </c>
      <c r="Y12" s="116"/>
      <c r="Z12" s="245" t="e">
        <f>#REF!</f>
        <v>#REF!</v>
      </c>
      <c r="AA12" s="116" t="e">
        <f t="shared" si="4"/>
        <v>#REF!</v>
      </c>
    </row>
    <row r="13" spans="1:27" s="3" customFormat="1" ht="168" x14ac:dyDescent="0.25">
      <c r="A13" s="47" t="s">
        <v>402</v>
      </c>
      <c r="B13" s="46" t="s">
        <v>398</v>
      </c>
      <c r="C13" s="46" t="s">
        <v>512</v>
      </c>
      <c r="D13" s="46"/>
      <c r="E13" s="47" t="s">
        <v>424</v>
      </c>
      <c r="F13" s="47" t="s">
        <v>425</v>
      </c>
      <c r="G13" s="47" t="s">
        <v>46</v>
      </c>
      <c r="H13" s="47"/>
      <c r="I13" s="47" t="s">
        <v>484</v>
      </c>
      <c r="J13" s="228">
        <v>440341.65</v>
      </c>
      <c r="K13" s="228">
        <v>150378.4</v>
      </c>
      <c r="L13" s="228">
        <f>269070.6+43507.35</f>
        <v>312577.94999999995</v>
      </c>
      <c r="M13" s="229">
        <f t="shared" si="0"/>
        <v>462956.35</v>
      </c>
      <c r="N13" s="78"/>
      <c r="O13" s="173"/>
      <c r="P13" s="173">
        <f t="shared" si="1"/>
        <v>0</v>
      </c>
      <c r="Q13" s="79">
        <f t="shared" si="2"/>
        <v>22614.699999999953</v>
      </c>
      <c r="R13" s="246">
        <f t="shared" si="3"/>
        <v>5.1357167780971782</v>
      </c>
      <c r="S13" s="116" t="b">
        <f>A13=[2]FORM.2!A11</f>
        <v>1</v>
      </c>
      <c r="T13" s="116" t="b">
        <f>E13=[2]FORM.2!D11</f>
        <v>1</v>
      </c>
      <c r="U13" s="116" t="b">
        <f>F13=[2]FORM.2!E11</f>
        <v>1</v>
      </c>
      <c r="V13" s="116" t="b">
        <f>G13=[2]FORM.2!F11</f>
        <v>1</v>
      </c>
      <c r="W13" s="116" t="b">
        <f>I13=[2]FORM.2!H11</f>
        <v>1</v>
      </c>
      <c r="X13" s="116" t="b">
        <f>J13=[2]FORM.2!J11</f>
        <v>1</v>
      </c>
      <c r="Y13" s="116"/>
      <c r="Z13" s="245" t="e">
        <f>#REF!</f>
        <v>#REF!</v>
      </c>
      <c r="AA13" s="116" t="e">
        <f t="shared" si="4"/>
        <v>#REF!</v>
      </c>
    </row>
    <row r="14" spans="1:27" s="3" customFormat="1" ht="105" x14ac:dyDescent="0.25">
      <c r="A14" s="47" t="s">
        <v>403</v>
      </c>
      <c r="B14" s="46" t="s">
        <v>398</v>
      </c>
      <c r="C14" s="46" t="s">
        <v>512</v>
      </c>
      <c r="D14" s="46"/>
      <c r="E14" s="47" t="s">
        <v>426</v>
      </c>
      <c r="F14" s="47" t="s">
        <v>427</v>
      </c>
      <c r="G14" s="47" t="s">
        <v>47</v>
      </c>
      <c r="H14" s="47"/>
      <c r="I14" s="47" t="s">
        <v>485</v>
      </c>
      <c r="J14" s="228">
        <v>185160.41</v>
      </c>
      <c r="K14" s="228">
        <v>65928.92</v>
      </c>
      <c r="L14" s="228">
        <v>100119.91</v>
      </c>
      <c r="M14" s="229">
        <f t="shared" si="0"/>
        <v>166048.83000000002</v>
      </c>
      <c r="N14" s="78"/>
      <c r="O14" s="173"/>
      <c r="P14" s="173">
        <f t="shared" si="1"/>
        <v>0</v>
      </c>
      <c r="Q14" s="79">
        <f t="shared" si="2"/>
        <v>-19111.579999999987</v>
      </c>
      <c r="R14" s="246">
        <f t="shared" si="3"/>
        <v>-10.321634090138376</v>
      </c>
      <c r="S14" s="116" t="b">
        <f>A14=[2]FORM.2!A12</f>
        <v>1</v>
      </c>
      <c r="T14" s="116" t="b">
        <f>E14=[2]FORM.2!D12</f>
        <v>1</v>
      </c>
      <c r="U14" s="116" t="b">
        <f>F14=[2]FORM.2!E12</f>
        <v>1</v>
      </c>
      <c r="V14" s="116" t="b">
        <f>G14=[2]FORM.2!F12</f>
        <v>1</v>
      </c>
      <c r="W14" s="116" t="b">
        <f>I14=[2]FORM.2!H12</f>
        <v>1</v>
      </c>
      <c r="X14" s="116" t="b">
        <f>J14=[2]FORM.2!J12</f>
        <v>1</v>
      </c>
      <c r="Y14" s="116"/>
      <c r="Z14" s="245" t="e">
        <f>#REF!</f>
        <v>#REF!</v>
      </c>
      <c r="AA14" s="116" t="e">
        <f t="shared" si="4"/>
        <v>#REF!</v>
      </c>
    </row>
    <row r="15" spans="1:27" s="3" customFormat="1" ht="84" x14ac:dyDescent="0.25">
      <c r="A15" s="47" t="s">
        <v>404</v>
      </c>
      <c r="B15" s="46" t="s">
        <v>398</v>
      </c>
      <c r="C15" s="46" t="s">
        <v>512</v>
      </c>
      <c r="D15" s="46"/>
      <c r="E15" s="47" t="s">
        <v>428</v>
      </c>
      <c r="F15" s="47" t="s">
        <v>429</v>
      </c>
      <c r="G15" s="47" t="s">
        <v>44</v>
      </c>
      <c r="H15" s="47"/>
      <c r="I15" s="47" t="s">
        <v>486</v>
      </c>
      <c r="J15" s="228">
        <v>146942.13</v>
      </c>
      <c r="K15" s="228">
        <v>31531.55</v>
      </c>
      <c r="L15" s="228">
        <v>47841.349999999991</v>
      </c>
      <c r="M15" s="229">
        <f t="shared" si="0"/>
        <v>79372.899999999994</v>
      </c>
      <c r="N15" s="78"/>
      <c r="O15" s="173"/>
      <c r="P15" s="173">
        <f t="shared" si="1"/>
        <v>0</v>
      </c>
      <c r="Q15" s="79">
        <f t="shared" si="2"/>
        <v>-67569.23000000001</v>
      </c>
      <c r="R15" s="246">
        <f t="shared" si="3"/>
        <v>-45.983565094639644</v>
      </c>
      <c r="S15" s="116" t="b">
        <f>A15=[2]FORM.2!A13</f>
        <v>1</v>
      </c>
      <c r="T15" s="116" t="b">
        <f>E15=[2]FORM.2!D13</f>
        <v>1</v>
      </c>
      <c r="U15" s="116" t="b">
        <f>F15=[2]FORM.2!E13</f>
        <v>1</v>
      </c>
      <c r="V15" s="116" t="b">
        <f>G15=[2]FORM.2!F13</f>
        <v>1</v>
      </c>
      <c r="W15" s="116" t="b">
        <f>I15=[2]FORM.2!H13</f>
        <v>1</v>
      </c>
      <c r="X15" s="116" t="b">
        <f>J15=[2]FORM.2!J13</f>
        <v>1</v>
      </c>
      <c r="Y15" s="116"/>
      <c r="Z15" s="245" t="e">
        <f>#REF!</f>
        <v>#REF!</v>
      </c>
      <c r="AA15" s="116" t="e">
        <f t="shared" si="4"/>
        <v>#REF!</v>
      </c>
    </row>
    <row r="16" spans="1:27" s="3" customFormat="1" ht="84" x14ac:dyDescent="0.25">
      <c r="A16" s="47" t="s">
        <v>405</v>
      </c>
      <c r="B16" s="46" t="s">
        <v>398</v>
      </c>
      <c r="C16" s="46" t="s">
        <v>512</v>
      </c>
      <c r="D16" s="46"/>
      <c r="E16" s="47" t="s">
        <v>430</v>
      </c>
      <c r="F16" s="47" t="s">
        <v>431</v>
      </c>
      <c r="G16" s="47" t="s">
        <v>47</v>
      </c>
      <c r="H16" s="47"/>
      <c r="I16" s="47" t="s">
        <v>487</v>
      </c>
      <c r="J16" s="228">
        <v>11387</v>
      </c>
      <c r="K16" s="228">
        <v>1213.05</v>
      </c>
      <c r="L16" s="228">
        <v>0</v>
      </c>
      <c r="M16" s="229">
        <f t="shared" si="0"/>
        <v>1213.05</v>
      </c>
      <c r="N16" s="78"/>
      <c r="O16" s="173"/>
      <c r="P16" s="173">
        <f t="shared" si="1"/>
        <v>0</v>
      </c>
      <c r="Q16" s="79">
        <f t="shared" si="2"/>
        <v>-10173.950000000001</v>
      </c>
      <c r="R16" s="246">
        <f t="shared" si="3"/>
        <v>-89.347062439624139</v>
      </c>
      <c r="S16" s="116" t="b">
        <f>A16=[2]FORM.2!A14</f>
        <v>1</v>
      </c>
      <c r="T16" s="116" t="b">
        <f>E16=[2]FORM.2!D14</f>
        <v>1</v>
      </c>
      <c r="U16" s="116" t="b">
        <f>F16=[2]FORM.2!E14</f>
        <v>1</v>
      </c>
      <c r="V16" s="116" t="b">
        <f>G16=[2]FORM.2!F14</f>
        <v>1</v>
      </c>
      <c r="W16" s="116" t="b">
        <f>I16=[2]FORM.2!H14</f>
        <v>1</v>
      </c>
      <c r="X16" s="116" t="b">
        <f>J16=[2]FORM.2!J14</f>
        <v>1</v>
      </c>
      <c r="Y16" s="116"/>
      <c r="Z16" s="245" t="e">
        <f>#REF!</f>
        <v>#REF!</v>
      </c>
      <c r="AA16" s="116" t="e">
        <f t="shared" si="4"/>
        <v>#REF!</v>
      </c>
    </row>
    <row r="17" spans="1:30" s="3" customFormat="1" ht="105" x14ac:dyDescent="0.25">
      <c r="A17" s="47" t="s">
        <v>406</v>
      </c>
      <c r="B17" s="46" t="s">
        <v>398</v>
      </c>
      <c r="C17" s="46" t="s">
        <v>512</v>
      </c>
      <c r="D17" s="46"/>
      <c r="E17" s="47" t="s">
        <v>432</v>
      </c>
      <c r="F17" s="47" t="s">
        <v>433</v>
      </c>
      <c r="G17" s="47" t="s">
        <v>38</v>
      </c>
      <c r="H17" s="47"/>
      <c r="I17" s="47" t="s">
        <v>488</v>
      </c>
      <c r="J17" s="228">
        <v>40000</v>
      </c>
      <c r="K17" s="228">
        <v>1390.26</v>
      </c>
      <c r="L17" s="228">
        <v>0</v>
      </c>
      <c r="M17" s="229">
        <f t="shared" si="0"/>
        <v>1390.26</v>
      </c>
      <c r="N17" s="78"/>
      <c r="O17" s="173"/>
      <c r="P17" s="173">
        <f t="shared" si="1"/>
        <v>0</v>
      </c>
      <c r="Q17" s="79">
        <f t="shared" si="2"/>
        <v>-38609.74</v>
      </c>
      <c r="R17" s="246">
        <f t="shared" si="3"/>
        <v>-96.524349999999998</v>
      </c>
      <c r="S17" s="116" t="b">
        <f>A17=[2]FORM.2!A15</f>
        <v>1</v>
      </c>
      <c r="T17" s="116" t="b">
        <f>E17=[2]FORM.2!D15</f>
        <v>1</v>
      </c>
      <c r="U17" s="116" t="b">
        <f>F17=[2]FORM.2!E15</f>
        <v>1</v>
      </c>
      <c r="V17" s="116" t="b">
        <f>G17=[2]FORM.2!F15</f>
        <v>1</v>
      </c>
      <c r="W17" s="116" t="b">
        <f>I17=[2]FORM.2!H15</f>
        <v>1</v>
      </c>
      <c r="X17" s="116" t="b">
        <f>J17=[2]FORM.2!J15</f>
        <v>1</v>
      </c>
      <c r="Y17" s="116"/>
      <c r="Z17" s="245" t="e">
        <f>#REF!</f>
        <v>#REF!</v>
      </c>
      <c r="AA17" s="116" t="e">
        <f t="shared" si="4"/>
        <v>#REF!</v>
      </c>
    </row>
    <row r="18" spans="1:30" s="3" customFormat="1" ht="105" x14ac:dyDescent="0.25">
      <c r="A18" s="47" t="s">
        <v>407</v>
      </c>
      <c r="B18" s="46" t="s">
        <v>398</v>
      </c>
      <c r="C18" s="46" t="s">
        <v>512</v>
      </c>
      <c r="D18" s="46"/>
      <c r="E18" s="47" t="s">
        <v>434</v>
      </c>
      <c r="F18" s="47" t="s">
        <v>435</v>
      </c>
      <c r="G18" s="47" t="s">
        <v>46</v>
      </c>
      <c r="H18" s="47"/>
      <c r="I18" s="47" t="s">
        <v>489</v>
      </c>
      <c r="J18" s="228">
        <v>33000</v>
      </c>
      <c r="K18" s="228">
        <v>1140.6300000000001</v>
      </c>
      <c r="L18" s="228">
        <v>0</v>
      </c>
      <c r="M18" s="229">
        <f t="shared" si="0"/>
        <v>1140.6300000000001</v>
      </c>
      <c r="N18" s="78"/>
      <c r="O18" s="173"/>
      <c r="P18" s="173">
        <f t="shared" si="1"/>
        <v>0</v>
      </c>
      <c r="Q18" s="79">
        <f t="shared" si="2"/>
        <v>-31859.37</v>
      </c>
      <c r="R18" s="246">
        <f t="shared" si="3"/>
        <v>-96.543545454545452</v>
      </c>
      <c r="S18" s="116" t="b">
        <f>A18=[2]FORM.2!A16</f>
        <v>1</v>
      </c>
      <c r="T18" s="116" t="b">
        <f>E18=[2]FORM.2!D16</f>
        <v>1</v>
      </c>
      <c r="U18" s="116" t="b">
        <f>F18=[2]FORM.2!E16</f>
        <v>1</v>
      </c>
      <c r="V18" s="116" t="b">
        <f>G18=[2]FORM.2!F16</f>
        <v>1</v>
      </c>
      <c r="W18" s="116" t="b">
        <f>I18=[2]FORM.2!H16</f>
        <v>1</v>
      </c>
      <c r="X18" s="116" t="b">
        <f>J18=[2]FORM.2!J16</f>
        <v>1</v>
      </c>
      <c r="Y18" s="116"/>
      <c r="Z18" s="245" t="e">
        <f>#REF!</f>
        <v>#REF!</v>
      </c>
      <c r="AA18" s="116" t="e">
        <f t="shared" si="4"/>
        <v>#REF!</v>
      </c>
    </row>
    <row r="19" spans="1:30" s="3" customFormat="1" ht="126" x14ac:dyDescent="0.25">
      <c r="A19" s="47" t="s">
        <v>408</v>
      </c>
      <c r="B19" s="46" t="s">
        <v>398</v>
      </c>
      <c r="C19" s="46" t="s">
        <v>512</v>
      </c>
      <c r="D19" s="46"/>
      <c r="E19" s="47" t="s">
        <v>436</v>
      </c>
      <c r="F19" s="47" t="s">
        <v>437</v>
      </c>
      <c r="G19" s="47" t="s">
        <v>247</v>
      </c>
      <c r="H19" s="47"/>
      <c r="I19" s="47" t="s">
        <v>490</v>
      </c>
      <c r="J19" s="228">
        <v>44000</v>
      </c>
      <c r="K19" s="228">
        <v>1117.3499999999999</v>
      </c>
      <c r="L19" s="228">
        <v>0</v>
      </c>
      <c r="M19" s="229">
        <f t="shared" si="0"/>
        <v>1117.3499999999999</v>
      </c>
      <c r="N19" s="78"/>
      <c r="O19" s="173"/>
      <c r="P19" s="173">
        <f t="shared" si="1"/>
        <v>0</v>
      </c>
      <c r="Q19" s="79">
        <f t="shared" si="2"/>
        <v>-42882.65</v>
      </c>
      <c r="R19" s="246">
        <f t="shared" si="3"/>
        <v>-97.460568181818189</v>
      </c>
      <c r="S19" s="116" t="b">
        <f>A19=[2]FORM.2!A17</f>
        <v>1</v>
      </c>
      <c r="T19" s="116" t="b">
        <f>E19=[2]FORM.2!D17</f>
        <v>1</v>
      </c>
      <c r="U19" s="116" t="b">
        <f>F19=[2]FORM.2!E17</f>
        <v>1</v>
      </c>
      <c r="V19" s="116" t="b">
        <f>G19=[2]FORM.2!F17</f>
        <v>1</v>
      </c>
      <c r="W19" s="116" t="b">
        <f>I19=[2]FORM.2!H17</f>
        <v>1</v>
      </c>
      <c r="X19" s="116" t="b">
        <f>J19=[2]FORM.2!J17</f>
        <v>1</v>
      </c>
      <c r="Y19" s="116"/>
      <c r="Z19" s="245" t="e">
        <f>#REF!</f>
        <v>#REF!</v>
      </c>
      <c r="AA19" s="116" t="e">
        <f t="shared" si="4"/>
        <v>#REF!</v>
      </c>
    </row>
    <row r="20" spans="1:30" s="3" customFormat="1" ht="112.5" customHeight="1" x14ac:dyDescent="0.25">
      <c r="A20" s="47" t="s">
        <v>409</v>
      </c>
      <c r="B20" s="46" t="s">
        <v>398</v>
      </c>
      <c r="C20" s="46" t="s">
        <v>513</v>
      </c>
      <c r="D20" s="46"/>
      <c r="E20" s="47" t="s">
        <v>438</v>
      </c>
      <c r="F20" s="47" t="s">
        <v>439</v>
      </c>
      <c r="G20" s="47" t="s">
        <v>47</v>
      </c>
      <c r="H20" s="47"/>
      <c r="I20" s="47" t="s">
        <v>705</v>
      </c>
      <c r="J20" s="228">
        <v>5000</v>
      </c>
      <c r="K20" s="228">
        <v>0</v>
      </c>
      <c r="L20" s="228">
        <v>0</v>
      </c>
      <c r="M20" s="229">
        <f t="shared" si="0"/>
        <v>0</v>
      </c>
      <c r="N20" s="78"/>
      <c r="O20" s="173"/>
      <c r="P20" s="173">
        <f t="shared" si="1"/>
        <v>0</v>
      </c>
      <c r="Q20" s="79">
        <f t="shared" si="2"/>
        <v>-5000</v>
      </c>
      <c r="R20" s="246">
        <f t="shared" si="3"/>
        <v>-100</v>
      </c>
      <c r="S20" s="116" t="b">
        <f>A20=[2]FORM.2!A18</f>
        <v>1</v>
      </c>
      <c r="T20" s="116" t="b">
        <f>E20=[2]FORM.2!D18</f>
        <v>1</v>
      </c>
      <c r="U20" s="116" t="b">
        <f>F20=[2]FORM.2!E18</f>
        <v>1</v>
      </c>
      <c r="V20" s="116" t="b">
        <f>G20=[2]FORM.2!F18</f>
        <v>1</v>
      </c>
      <c r="W20" s="116" t="b">
        <f>I20=[2]FORM.2!H18</f>
        <v>1</v>
      </c>
      <c r="X20" s="116" t="b">
        <f>J20=[2]FORM.2!J18</f>
        <v>1</v>
      </c>
      <c r="Y20" s="116"/>
      <c r="Z20" s="245" t="e">
        <f>#REF!</f>
        <v>#REF!</v>
      </c>
      <c r="AA20" s="116" t="e">
        <f t="shared" si="4"/>
        <v>#REF!</v>
      </c>
    </row>
    <row r="21" spans="1:30" s="3" customFormat="1" ht="63" x14ac:dyDescent="0.25">
      <c r="A21" s="47" t="s">
        <v>410</v>
      </c>
      <c r="B21" s="46" t="s">
        <v>398</v>
      </c>
      <c r="C21" s="46" t="s">
        <v>513</v>
      </c>
      <c r="D21" s="46"/>
      <c r="E21" s="47" t="s">
        <v>440</v>
      </c>
      <c r="F21" s="47" t="s">
        <v>441</v>
      </c>
      <c r="G21" s="47" t="s">
        <v>286</v>
      </c>
      <c r="H21" s="47"/>
      <c r="I21" s="47" t="s">
        <v>492</v>
      </c>
      <c r="J21" s="228">
        <v>5000</v>
      </c>
      <c r="K21" s="228">
        <v>0</v>
      </c>
      <c r="L21" s="228">
        <v>0</v>
      </c>
      <c r="M21" s="229">
        <f t="shared" si="0"/>
        <v>0</v>
      </c>
      <c r="N21" s="78"/>
      <c r="O21" s="173"/>
      <c r="P21" s="173">
        <f t="shared" si="1"/>
        <v>0</v>
      </c>
      <c r="Q21" s="79">
        <f t="shared" si="2"/>
        <v>-5000</v>
      </c>
      <c r="R21" s="246">
        <f t="shared" si="3"/>
        <v>-100</v>
      </c>
      <c r="S21" s="116" t="b">
        <f>A21=[2]FORM.2!A19</f>
        <v>1</v>
      </c>
      <c r="T21" s="116" t="b">
        <f>E21=[2]FORM.2!D19</f>
        <v>1</v>
      </c>
      <c r="U21" s="116" t="b">
        <f>F21=[2]FORM.2!E19</f>
        <v>1</v>
      </c>
      <c r="V21" s="116" t="b">
        <f>G21=[2]FORM.2!F19</f>
        <v>1</v>
      </c>
      <c r="W21" s="116" t="b">
        <f>I21=[2]FORM.2!H19</f>
        <v>1</v>
      </c>
      <c r="X21" s="116" t="b">
        <f>J21=[2]FORM.2!J19</f>
        <v>1</v>
      </c>
      <c r="Y21" s="116"/>
      <c r="Z21" s="245" t="e">
        <f>#REF!</f>
        <v>#REF!</v>
      </c>
      <c r="AA21" s="116" t="e">
        <f t="shared" si="4"/>
        <v>#REF!</v>
      </c>
    </row>
    <row r="22" spans="1:30" s="3" customFormat="1" ht="63" x14ac:dyDescent="0.25">
      <c r="A22" s="47" t="s">
        <v>411</v>
      </c>
      <c r="B22" s="46" t="s">
        <v>398</v>
      </c>
      <c r="C22" s="46" t="s">
        <v>512</v>
      </c>
      <c r="D22" s="46"/>
      <c r="E22" s="47" t="s">
        <v>442</v>
      </c>
      <c r="F22" s="47" t="s">
        <v>443</v>
      </c>
      <c r="G22" s="47" t="s">
        <v>236</v>
      </c>
      <c r="H22" s="47"/>
      <c r="I22" s="47" t="s">
        <v>493</v>
      </c>
      <c r="J22" s="228">
        <v>90000</v>
      </c>
      <c r="K22" s="228">
        <v>4793.78</v>
      </c>
      <c r="L22" s="228">
        <v>20226.22</v>
      </c>
      <c r="M22" s="229">
        <f t="shared" si="0"/>
        <v>25020</v>
      </c>
      <c r="N22" s="78"/>
      <c r="O22" s="173"/>
      <c r="P22" s="173">
        <f t="shared" si="1"/>
        <v>0</v>
      </c>
      <c r="Q22" s="79">
        <f t="shared" si="2"/>
        <v>-64980</v>
      </c>
      <c r="R22" s="246">
        <f t="shared" si="3"/>
        <v>-72.2</v>
      </c>
      <c r="S22" s="116" t="b">
        <f>A22=[2]FORM.2!A20</f>
        <v>1</v>
      </c>
      <c r="T22" s="116" t="b">
        <f>E22=[2]FORM.2!D20</f>
        <v>1</v>
      </c>
      <c r="U22" s="116" t="b">
        <f>F22=[2]FORM.2!E20</f>
        <v>1</v>
      </c>
      <c r="V22" s="116" t="b">
        <f>G22=[2]FORM.2!F20</f>
        <v>1</v>
      </c>
      <c r="W22" s="116" t="b">
        <f>I22=[2]FORM.2!H20</f>
        <v>1</v>
      </c>
      <c r="X22" s="116" t="b">
        <f>J22=[2]FORM.2!J20</f>
        <v>1</v>
      </c>
      <c r="Y22" s="116"/>
      <c r="Z22" s="245" t="e">
        <f>#REF!</f>
        <v>#REF!</v>
      </c>
      <c r="AA22" s="116" t="e">
        <f t="shared" si="4"/>
        <v>#REF!</v>
      </c>
    </row>
    <row r="23" spans="1:30" s="3" customFormat="1" ht="84" x14ac:dyDescent="0.25">
      <c r="A23" s="47" t="s">
        <v>397</v>
      </c>
      <c r="B23" s="46" t="s">
        <v>412</v>
      </c>
      <c r="C23" s="46" t="s">
        <v>512</v>
      </c>
      <c r="D23" s="46"/>
      <c r="E23" s="47" t="s">
        <v>444</v>
      </c>
      <c r="F23" s="47" t="s">
        <v>445</v>
      </c>
      <c r="G23" s="47" t="s">
        <v>43</v>
      </c>
      <c r="H23" s="47"/>
      <c r="I23" s="47" t="s">
        <v>494</v>
      </c>
      <c r="J23" s="228">
        <v>100000</v>
      </c>
      <c r="K23" s="228">
        <v>0</v>
      </c>
      <c r="L23" s="228">
        <v>50000</v>
      </c>
      <c r="M23" s="229">
        <f t="shared" si="0"/>
        <v>50000</v>
      </c>
      <c r="N23" s="78"/>
      <c r="O23" s="173"/>
      <c r="P23" s="173">
        <f t="shared" si="1"/>
        <v>0</v>
      </c>
      <c r="Q23" s="79">
        <f t="shared" si="2"/>
        <v>-50000</v>
      </c>
      <c r="R23" s="246">
        <f t="shared" si="3"/>
        <v>-50</v>
      </c>
      <c r="S23" s="116" t="b">
        <f>A23=[2]FORM.2!A21</f>
        <v>1</v>
      </c>
      <c r="T23" s="116" t="b">
        <f>E23=[2]FORM.2!D21</f>
        <v>1</v>
      </c>
      <c r="U23" s="116" t="b">
        <f>F23=[2]FORM.2!E21</f>
        <v>1</v>
      </c>
      <c r="V23" s="116" t="b">
        <f>G23=[2]FORM.2!F21</f>
        <v>1</v>
      </c>
      <c r="W23" s="116" t="b">
        <f>I23=[2]FORM.2!H21</f>
        <v>1</v>
      </c>
      <c r="X23" s="116" t="b">
        <f>J23=[2]FORM.2!J21</f>
        <v>1</v>
      </c>
      <c r="Y23" s="116"/>
      <c r="Z23" s="245" t="e">
        <f>#REF!</f>
        <v>#REF!</v>
      </c>
      <c r="AA23" s="116" t="e">
        <f t="shared" si="4"/>
        <v>#REF!</v>
      </c>
    </row>
    <row r="24" spans="1:30" s="3" customFormat="1" ht="105" x14ac:dyDescent="0.25">
      <c r="A24" s="47" t="s">
        <v>399</v>
      </c>
      <c r="B24" s="46" t="s">
        <v>412</v>
      </c>
      <c r="C24" s="46" t="s">
        <v>512</v>
      </c>
      <c r="D24" s="46"/>
      <c r="E24" s="47" t="s">
        <v>446</v>
      </c>
      <c r="F24" s="47" t="s">
        <v>447</v>
      </c>
      <c r="G24" s="47" t="s">
        <v>222</v>
      </c>
      <c r="H24" s="47"/>
      <c r="I24" s="47" t="s">
        <v>495</v>
      </c>
      <c r="J24" s="228">
        <v>195000</v>
      </c>
      <c r="K24" s="228">
        <v>0</v>
      </c>
      <c r="L24" s="228">
        <v>40000</v>
      </c>
      <c r="M24" s="229">
        <f t="shared" si="0"/>
        <v>40000</v>
      </c>
      <c r="N24" s="78"/>
      <c r="O24" s="173"/>
      <c r="P24" s="173">
        <f t="shared" si="1"/>
        <v>0</v>
      </c>
      <c r="Q24" s="79">
        <f t="shared" si="2"/>
        <v>-155000</v>
      </c>
      <c r="R24" s="246">
        <f t="shared" si="3"/>
        <v>-79.487179487179489</v>
      </c>
      <c r="S24" s="116" t="b">
        <f>A24=[2]FORM.2!A22</f>
        <v>1</v>
      </c>
      <c r="T24" s="116" t="b">
        <f>E24=[2]FORM.2!D22</f>
        <v>1</v>
      </c>
      <c r="U24" s="116" t="b">
        <f>F24=[2]FORM.2!E22</f>
        <v>1</v>
      </c>
      <c r="V24" s="116" t="b">
        <f>G24=[2]FORM.2!F22</f>
        <v>1</v>
      </c>
      <c r="W24" s="116" t="b">
        <f>I24=[2]FORM.2!H22</f>
        <v>1</v>
      </c>
      <c r="X24" s="116" t="b">
        <f>J24=[2]FORM.2!J22</f>
        <v>1</v>
      </c>
      <c r="Y24" s="116"/>
      <c r="Z24" s="245" t="e">
        <f>#REF!</f>
        <v>#REF!</v>
      </c>
      <c r="AA24" s="116" t="e">
        <f t="shared" si="4"/>
        <v>#REF!</v>
      </c>
    </row>
    <row r="25" spans="1:30" s="3" customFormat="1" ht="63" x14ac:dyDescent="0.25">
      <c r="A25" s="47" t="s">
        <v>397</v>
      </c>
      <c r="B25" s="46" t="s">
        <v>412</v>
      </c>
      <c r="C25" s="46" t="s">
        <v>512</v>
      </c>
      <c r="D25" s="46"/>
      <c r="E25" s="47" t="s">
        <v>448</v>
      </c>
      <c r="F25" s="47" t="s">
        <v>449</v>
      </c>
      <c r="G25" s="47" t="s">
        <v>40</v>
      </c>
      <c r="H25" s="47"/>
      <c r="I25" s="47" t="s">
        <v>496</v>
      </c>
      <c r="J25" s="228">
        <v>55000</v>
      </c>
      <c r="K25" s="228">
        <v>0</v>
      </c>
      <c r="L25" s="228">
        <v>40000</v>
      </c>
      <c r="M25" s="229">
        <f t="shared" si="0"/>
        <v>40000</v>
      </c>
      <c r="N25" s="78"/>
      <c r="O25" s="173"/>
      <c r="P25" s="173">
        <f t="shared" si="1"/>
        <v>0</v>
      </c>
      <c r="Q25" s="79">
        <f t="shared" si="2"/>
        <v>-15000</v>
      </c>
      <c r="R25" s="246">
        <f t="shared" si="3"/>
        <v>-27.27272727272727</v>
      </c>
      <c r="S25" s="116" t="b">
        <f>A25=[2]FORM.2!A23</f>
        <v>1</v>
      </c>
      <c r="T25" s="116" t="b">
        <f>E25=[2]FORM.2!D23</f>
        <v>1</v>
      </c>
      <c r="U25" s="116" t="b">
        <f>F25=[2]FORM.2!E23</f>
        <v>1</v>
      </c>
      <c r="V25" s="116" t="b">
        <f>G25=[2]FORM.2!F23</f>
        <v>1</v>
      </c>
      <c r="W25" s="116" t="b">
        <f>I25=[2]FORM.2!H23</f>
        <v>1</v>
      </c>
      <c r="X25" s="116" t="b">
        <f>J25=[2]FORM.2!J23</f>
        <v>1</v>
      </c>
      <c r="Y25" s="116"/>
      <c r="Z25" s="245" t="e">
        <f>#REF!</f>
        <v>#REF!</v>
      </c>
      <c r="AA25" s="116" t="e">
        <f t="shared" si="4"/>
        <v>#REF!</v>
      </c>
    </row>
    <row r="26" spans="1:30" s="3" customFormat="1" ht="84" x14ac:dyDescent="0.25">
      <c r="A26" s="47" t="s">
        <v>402</v>
      </c>
      <c r="B26" s="46" t="s">
        <v>398</v>
      </c>
      <c r="C26" s="46" t="s">
        <v>512</v>
      </c>
      <c r="D26" s="46"/>
      <c r="E26" s="47" t="s">
        <v>450</v>
      </c>
      <c r="F26" s="47" t="s">
        <v>451</v>
      </c>
      <c r="G26" s="47" t="s">
        <v>46</v>
      </c>
      <c r="H26" s="47"/>
      <c r="I26" s="47" t="s">
        <v>497</v>
      </c>
      <c r="J26" s="228">
        <v>70882</v>
      </c>
      <c r="K26" s="228">
        <v>26580.82</v>
      </c>
      <c r="L26" s="228">
        <v>17720.55</v>
      </c>
      <c r="M26" s="229">
        <f t="shared" si="0"/>
        <v>44301.369999999995</v>
      </c>
      <c r="N26" s="78"/>
      <c r="O26" s="173"/>
      <c r="P26" s="173">
        <f t="shared" si="1"/>
        <v>0</v>
      </c>
      <c r="Q26" s="79">
        <f t="shared" si="2"/>
        <v>-26580.630000000005</v>
      </c>
      <c r="R26" s="246">
        <f t="shared" si="3"/>
        <v>-37.499830704551236</v>
      </c>
      <c r="S26" s="116" t="b">
        <f>A26=[2]FORM.2!A24</f>
        <v>1</v>
      </c>
      <c r="T26" s="116" t="b">
        <f>E26=[2]FORM.2!D24</f>
        <v>1</v>
      </c>
      <c r="U26" s="116" t="b">
        <f>F26=[2]FORM.2!E24</f>
        <v>1</v>
      </c>
      <c r="V26" s="116" t="b">
        <f>G26=[2]FORM.2!F24</f>
        <v>1</v>
      </c>
      <c r="W26" s="116" t="b">
        <f>I26=[2]FORM.2!H24</f>
        <v>1</v>
      </c>
      <c r="X26" s="116" t="b">
        <f>J26=[2]FORM.2!J24</f>
        <v>1</v>
      </c>
      <c r="Y26" s="116"/>
      <c r="Z26" s="245" t="e">
        <f>#REF!</f>
        <v>#REF!</v>
      </c>
      <c r="AA26" s="116" t="e">
        <f t="shared" si="4"/>
        <v>#REF!</v>
      </c>
      <c r="AB26" s="314"/>
      <c r="AC26" s="314"/>
    </row>
    <row r="27" spans="1:30" s="3" customFormat="1" ht="84" x14ac:dyDescent="0.25">
      <c r="A27" s="47" t="s">
        <v>399</v>
      </c>
      <c r="B27" s="46" t="s">
        <v>412</v>
      </c>
      <c r="C27" s="46" t="s">
        <v>512</v>
      </c>
      <c r="D27" s="46"/>
      <c r="E27" s="47" t="s">
        <v>452</v>
      </c>
      <c r="F27" s="47" t="s">
        <v>453</v>
      </c>
      <c r="G27" s="47" t="s">
        <v>43</v>
      </c>
      <c r="H27" s="47"/>
      <c r="I27" s="47" t="s">
        <v>498</v>
      </c>
      <c r="J27" s="228">
        <v>150000</v>
      </c>
      <c r="K27" s="228">
        <v>6356.91</v>
      </c>
      <c r="L27" s="228">
        <f>J27-K27</f>
        <v>143643.09</v>
      </c>
      <c r="M27" s="229">
        <f t="shared" si="0"/>
        <v>150000</v>
      </c>
      <c r="N27" s="78"/>
      <c r="O27" s="173"/>
      <c r="P27" s="173">
        <f t="shared" si="1"/>
        <v>0</v>
      </c>
      <c r="Q27" s="79">
        <f t="shared" si="2"/>
        <v>0</v>
      </c>
      <c r="R27" s="246">
        <f t="shared" si="3"/>
        <v>0</v>
      </c>
      <c r="S27" s="116" t="b">
        <f>A27=[2]FORM.2!A25</f>
        <v>1</v>
      </c>
      <c r="T27" s="116" t="b">
        <f>E27=[2]FORM.2!D25</f>
        <v>1</v>
      </c>
      <c r="U27" s="116" t="b">
        <f>F27=[2]FORM.2!E25</f>
        <v>1</v>
      </c>
      <c r="V27" s="116" t="b">
        <f>G27=[2]FORM.2!F25</f>
        <v>1</v>
      </c>
      <c r="W27" s="116" t="b">
        <f>I27=[2]FORM.2!H25</f>
        <v>1</v>
      </c>
      <c r="X27" s="116" t="b">
        <f>J27=[2]FORM.2!J25</f>
        <v>1</v>
      </c>
      <c r="Y27" s="116"/>
      <c r="Z27" s="245" t="e">
        <f>#REF!</f>
        <v>#REF!</v>
      </c>
      <c r="AA27" s="116" t="e">
        <f t="shared" si="4"/>
        <v>#REF!</v>
      </c>
    </row>
    <row r="28" spans="1:30" s="3" customFormat="1" ht="84" x14ac:dyDescent="0.25">
      <c r="A28" s="47" t="s">
        <v>399</v>
      </c>
      <c r="B28" s="46" t="s">
        <v>398</v>
      </c>
      <c r="C28" s="46" t="s">
        <v>512</v>
      </c>
      <c r="D28" s="46"/>
      <c r="E28" s="47" t="s">
        <v>454</v>
      </c>
      <c r="F28" s="47" t="s">
        <v>455</v>
      </c>
      <c r="G28" s="47" t="s">
        <v>48</v>
      </c>
      <c r="H28" s="47"/>
      <c r="I28" s="47" t="s">
        <v>499</v>
      </c>
      <c r="J28" s="228">
        <v>33000</v>
      </c>
      <c r="K28" s="228">
        <v>0</v>
      </c>
      <c r="L28" s="228">
        <v>20000</v>
      </c>
      <c r="M28" s="229">
        <f t="shared" si="0"/>
        <v>20000</v>
      </c>
      <c r="N28" s="78"/>
      <c r="O28" s="173"/>
      <c r="P28" s="173">
        <f t="shared" si="1"/>
        <v>0</v>
      </c>
      <c r="Q28" s="79">
        <f t="shared" si="2"/>
        <v>-13000</v>
      </c>
      <c r="R28" s="246">
        <f t="shared" si="3"/>
        <v>-39.393939393939391</v>
      </c>
      <c r="S28" s="116" t="b">
        <f>A28=[2]FORM.2!A26</f>
        <v>1</v>
      </c>
      <c r="T28" s="116" t="b">
        <f>E28=[2]FORM.2!D26</f>
        <v>1</v>
      </c>
      <c r="U28" s="116" t="b">
        <f>F28=[2]FORM.2!E26</f>
        <v>1</v>
      </c>
      <c r="V28" s="116" t="b">
        <f>G28=[2]FORM.2!F26</f>
        <v>1</v>
      </c>
      <c r="W28" s="116" t="b">
        <f>I28=[2]FORM.2!H26</f>
        <v>1</v>
      </c>
      <c r="X28" s="116" t="b">
        <f>J28=[2]FORM.2!J26</f>
        <v>1</v>
      </c>
      <c r="Y28" s="116"/>
      <c r="Z28" s="245" t="e">
        <f>#REF!</f>
        <v>#REF!</v>
      </c>
      <c r="AA28" s="116" t="e">
        <f t="shared" si="4"/>
        <v>#REF!</v>
      </c>
    </row>
    <row r="29" spans="1:30" s="3" customFormat="1" ht="147" x14ac:dyDescent="0.25">
      <c r="A29" s="47" t="s">
        <v>413</v>
      </c>
      <c r="B29" s="46" t="s">
        <v>412</v>
      </c>
      <c r="C29" s="46" t="s">
        <v>512</v>
      </c>
      <c r="D29" s="46"/>
      <c r="E29" s="47" t="s">
        <v>456</v>
      </c>
      <c r="F29" s="47" t="s">
        <v>457</v>
      </c>
      <c r="G29" s="47" t="s">
        <v>45</v>
      </c>
      <c r="H29" s="47"/>
      <c r="I29" s="47" t="s">
        <v>500</v>
      </c>
      <c r="J29" s="228">
        <v>76000</v>
      </c>
      <c r="K29" s="228">
        <v>0</v>
      </c>
      <c r="L29" s="228">
        <v>100000</v>
      </c>
      <c r="M29" s="229">
        <f t="shared" si="0"/>
        <v>100000</v>
      </c>
      <c r="N29" s="78"/>
      <c r="O29" s="173"/>
      <c r="P29" s="173">
        <f t="shared" si="1"/>
        <v>0</v>
      </c>
      <c r="Q29" s="79">
        <f t="shared" si="2"/>
        <v>24000</v>
      </c>
      <c r="R29" s="246">
        <f t="shared" si="3"/>
        <v>31.578947368421051</v>
      </c>
      <c r="S29" s="116" t="b">
        <f>A29=[2]FORM.2!A27</f>
        <v>1</v>
      </c>
      <c r="T29" s="116" t="b">
        <f>E29=[2]FORM.2!D27</f>
        <v>1</v>
      </c>
      <c r="U29" s="116" t="b">
        <f>F29=[2]FORM.2!E27</f>
        <v>1</v>
      </c>
      <c r="V29" s="116" t="b">
        <f>G29=[2]FORM.2!F27</f>
        <v>1</v>
      </c>
      <c r="W29" s="116" t="b">
        <f>I29=[2]FORM.2!H27</f>
        <v>1</v>
      </c>
      <c r="X29" s="116" t="b">
        <f>J29=[2]FORM.2!J27</f>
        <v>1</v>
      </c>
      <c r="Y29" s="116"/>
      <c r="Z29" s="245" t="e">
        <f>#REF!</f>
        <v>#REF!</v>
      </c>
      <c r="AA29" s="116" t="e">
        <f t="shared" si="4"/>
        <v>#REF!</v>
      </c>
    </row>
    <row r="30" spans="1:30" s="3" customFormat="1" ht="84" x14ac:dyDescent="0.25">
      <c r="A30" s="47" t="s">
        <v>414</v>
      </c>
      <c r="B30" s="46" t="s">
        <v>398</v>
      </c>
      <c r="C30" s="46" t="s">
        <v>512</v>
      </c>
      <c r="D30" s="46"/>
      <c r="E30" s="47" t="s">
        <v>458</v>
      </c>
      <c r="F30" s="47" t="s">
        <v>459</v>
      </c>
      <c r="G30" s="47" t="s">
        <v>222</v>
      </c>
      <c r="H30" s="47"/>
      <c r="I30" s="47" t="s">
        <v>501</v>
      </c>
      <c r="J30" s="228">
        <v>296794.26</v>
      </c>
      <c r="K30" s="228">
        <v>118327.01</v>
      </c>
      <c r="L30" s="228">
        <v>168225.49</v>
      </c>
      <c r="M30" s="229">
        <f t="shared" ref="M30:M33" si="5">K30+L30</f>
        <v>286552.5</v>
      </c>
      <c r="N30" s="78"/>
      <c r="O30" s="173"/>
      <c r="P30" s="173">
        <f t="shared" ref="P30:P33" si="6">IFERROR(O30/M30*100,)</f>
        <v>0</v>
      </c>
      <c r="Q30" s="79">
        <f t="shared" si="2"/>
        <v>-10241.760000000009</v>
      </c>
      <c r="R30" s="246">
        <f t="shared" si="3"/>
        <v>-3.4507944998666789</v>
      </c>
      <c r="S30" s="116" t="b">
        <f>A30=[2]FORM.2!A28</f>
        <v>1</v>
      </c>
      <c r="T30" s="116" t="b">
        <f>E30=[2]FORM.2!D28</f>
        <v>1</v>
      </c>
      <c r="U30" s="116" t="b">
        <f>F30=[2]FORM.2!E28</f>
        <v>1</v>
      </c>
      <c r="V30" s="116" t="b">
        <f>G30=[2]FORM.2!F28</f>
        <v>1</v>
      </c>
      <c r="W30" s="116" t="b">
        <f>I30=[2]FORM.2!H28</f>
        <v>1</v>
      </c>
      <c r="X30" s="116" t="b">
        <f>J30=[2]FORM.2!J28</f>
        <v>1</v>
      </c>
      <c r="Y30" s="116"/>
      <c r="Z30" s="245" t="e">
        <f>#REF!</f>
        <v>#REF!</v>
      </c>
      <c r="AA30" s="116" t="e">
        <f t="shared" si="4"/>
        <v>#REF!</v>
      </c>
      <c r="AC30" s="249"/>
      <c r="AD30" s="322"/>
    </row>
    <row r="31" spans="1:30" s="3" customFormat="1" ht="63" x14ac:dyDescent="0.25">
      <c r="A31" s="47" t="s">
        <v>397</v>
      </c>
      <c r="B31" s="46" t="s">
        <v>412</v>
      </c>
      <c r="C31" s="46" t="s">
        <v>514</v>
      </c>
      <c r="D31" s="46"/>
      <c r="E31" s="47" t="s">
        <v>460</v>
      </c>
      <c r="F31" s="47" t="s">
        <v>461</v>
      </c>
      <c r="G31" s="47" t="s">
        <v>50</v>
      </c>
      <c r="H31" s="47"/>
      <c r="I31" s="47" t="s">
        <v>502</v>
      </c>
      <c r="J31" s="228">
        <v>400000</v>
      </c>
      <c r="K31" s="228">
        <v>0</v>
      </c>
      <c r="L31" s="228">
        <v>400000</v>
      </c>
      <c r="M31" s="229">
        <f t="shared" si="5"/>
        <v>400000</v>
      </c>
      <c r="N31" s="78"/>
      <c r="O31" s="173"/>
      <c r="P31" s="173">
        <f t="shared" si="6"/>
        <v>0</v>
      </c>
      <c r="Q31" s="79">
        <f>M31-J31</f>
        <v>0</v>
      </c>
      <c r="R31" s="246">
        <f t="shared" si="3"/>
        <v>0</v>
      </c>
      <c r="S31" s="116" t="b">
        <f>A31=[2]FORM.2!A29</f>
        <v>1</v>
      </c>
      <c r="T31" s="116" t="b">
        <f>E31=[2]FORM.2!D29</f>
        <v>1</v>
      </c>
      <c r="U31" s="116" t="b">
        <f>F31=[2]FORM.2!E29</f>
        <v>1</v>
      </c>
      <c r="V31" s="116" t="b">
        <f>G31=[2]FORM.2!F29</f>
        <v>1</v>
      </c>
      <c r="W31" s="116" t="b">
        <f>I31=[2]FORM.2!H29</f>
        <v>1</v>
      </c>
      <c r="X31" s="116" t="b">
        <f>J31=[2]FORM.2!J29</f>
        <v>1</v>
      </c>
      <c r="Y31" s="116"/>
      <c r="Z31" s="245" t="e">
        <f>#REF!</f>
        <v>#REF!</v>
      </c>
      <c r="AA31" s="116" t="e">
        <f t="shared" si="4"/>
        <v>#REF!</v>
      </c>
      <c r="AC31" s="249"/>
    </row>
    <row r="32" spans="1:30" s="3" customFormat="1" ht="42" x14ac:dyDescent="0.25">
      <c r="A32" s="47" t="s">
        <v>402</v>
      </c>
      <c r="B32" s="46" t="s">
        <v>412</v>
      </c>
      <c r="C32" s="46" t="s">
        <v>514</v>
      </c>
      <c r="D32" s="46"/>
      <c r="E32" s="47" t="s">
        <v>462</v>
      </c>
      <c r="F32" s="47" t="s">
        <v>463</v>
      </c>
      <c r="G32" s="47" t="s">
        <v>50</v>
      </c>
      <c r="H32" s="47"/>
      <c r="I32" s="47" t="s">
        <v>503</v>
      </c>
      <c r="J32" s="228">
        <v>160000</v>
      </c>
      <c r="K32" s="228">
        <v>15148</v>
      </c>
      <c r="L32" s="228">
        <v>144852</v>
      </c>
      <c r="M32" s="229">
        <f t="shared" si="5"/>
        <v>160000</v>
      </c>
      <c r="N32" s="78"/>
      <c r="O32" s="173"/>
      <c r="P32" s="173">
        <f t="shared" si="6"/>
        <v>0</v>
      </c>
      <c r="Q32" s="79">
        <f>M32-J32</f>
        <v>0</v>
      </c>
      <c r="R32" s="246">
        <f t="shared" si="3"/>
        <v>0</v>
      </c>
      <c r="S32" s="116" t="b">
        <f>A32=[2]FORM.2!A30</f>
        <v>1</v>
      </c>
      <c r="T32" s="116" t="b">
        <f>E32=[2]FORM.2!D30</f>
        <v>1</v>
      </c>
      <c r="U32" s="116" t="b">
        <f>F32=[2]FORM.2!E30</f>
        <v>1</v>
      </c>
      <c r="V32" s="116" t="b">
        <f>G32=[2]FORM.2!F30</f>
        <v>1</v>
      </c>
      <c r="W32" s="116" t="b">
        <f>I32=[2]FORM.2!H30</f>
        <v>1</v>
      </c>
      <c r="X32" s="116" t="b">
        <f>J32=[2]FORM.2!J30</f>
        <v>1</v>
      </c>
      <c r="Y32" s="116"/>
      <c r="Z32" s="245" t="e">
        <f>#REF!</f>
        <v>#REF!</v>
      </c>
      <c r="AA32" s="116" t="e">
        <f t="shared" si="4"/>
        <v>#REF!</v>
      </c>
      <c r="AB32" s="321"/>
    </row>
    <row r="33" spans="1:32" s="3" customFormat="1" ht="105" x14ac:dyDescent="0.25">
      <c r="A33" s="47" t="s">
        <v>402</v>
      </c>
      <c r="B33" s="46" t="s">
        <v>398</v>
      </c>
      <c r="C33" s="46" t="s">
        <v>512</v>
      </c>
      <c r="D33" s="46"/>
      <c r="E33" s="47" t="s">
        <v>464</v>
      </c>
      <c r="F33" s="47" t="s">
        <v>465</v>
      </c>
      <c r="G33" s="47" t="s">
        <v>38</v>
      </c>
      <c r="H33" s="47"/>
      <c r="I33" s="47" t="s">
        <v>504</v>
      </c>
      <c r="J33" s="228">
        <v>179668.62</v>
      </c>
      <c r="K33" s="228">
        <v>62884.04</v>
      </c>
      <c r="L33" s="228">
        <v>17966.900000000001</v>
      </c>
      <c r="M33" s="229">
        <f t="shared" si="5"/>
        <v>80850.94</v>
      </c>
      <c r="N33" s="78"/>
      <c r="O33" s="173"/>
      <c r="P33" s="173">
        <f t="shared" si="6"/>
        <v>0</v>
      </c>
      <c r="Q33" s="79">
        <f t="shared" ref="Q33:Q36" si="7">M33-J33</f>
        <v>-98817.68</v>
      </c>
      <c r="R33" s="246">
        <f t="shared" si="3"/>
        <v>-54.999966048606595</v>
      </c>
      <c r="S33" s="116" t="b">
        <f>A33=[2]FORM.2!A31</f>
        <v>1</v>
      </c>
      <c r="T33" s="116" t="b">
        <f>E33=[2]FORM.2!D31</f>
        <v>1</v>
      </c>
      <c r="U33" s="116" t="b">
        <f>F33=[2]FORM.2!E31</f>
        <v>1</v>
      </c>
      <c r="V33" s="116" t="b">
        <f>G33=[2]FORM.2!F31</f>
        <v>1</v>
      </c>
      <c r="W33" s="116" t="b">
        <f>I33=[2]FORM.2!H31</f>
        <v>1</v>
      </c>
      <c r="X33" s="116" t="b">
        <f>J33=[2]FORM.2!J31</f>
        <v>1</v>
      </c>
      <c r="Y33" s="116"/>
      <c r="Z33" s="245" t="e">
        <f>#REF!</f>
        <v>#REF!</v>
      </c>
      <c r="AA33" s="116" t="e">
        <f t="shared" si="4"/>
        <v>#REF!</v>
      </c>
      <c r="AB33" s="249"/>
      <c r="AC33" s="249"/>
      <c r="AD33" s="249"/>
    </row>
    <row r="34" spans="1:32" s="3" customFormat="1" ht="84" x14ac:dyDescent="0.25">
      <c r="A34" s="47" t="s">
        <v>402</v>
      </c>
      <c r="B34" s="46" t="s">
        <v>398</v>
      </c>
      <c r="C34" s="46" t="s">
        <v>512</v>
      </c>
      <c r="D34" s="46"/>
      <c r="E34" s="47" t="s">
        <v>466</v>
      </c>
      <c r="F34" s="47" t="s">
        <v>467</v>
      </c>
      <c r="G34" s="47" t="s">
        <v>222</v>
      </c>
      <c r="H34" s="47"/>
      <c r="I34" s="47" t="s">
        <v>505</v>
      </c>
      <c r="J34" s="228">
        <v>35503.379999999997</v>
      </c>
      <c r="K34" s="228">
        <v>12426.2</v>
      </c>
      <c r="L34" s="228">
        <v>3550.34</v>
      </c>
      <c r="M34" s="229">
        <f t="shared" si="0"/>
        <v>15976.54</v>
      </c>
      <c r="N34" s="78"/>
      <c r="O34" s="173"/>
      <c r="P34" s="173">
        <f t="shared" si="1"/>
        <v>0</v>
      </c>
      <c r="Q34" s="79">
        <f t="shared" si="7"/>
        <v>-19526.839999999997</v>
      </c>
      <c r="R34" s="246">
        <f t="shared" si="3"/>
        <v>-54.999946483968564</v>
      </c>
      <c r="S34" s="116" t="b">
        <f>A34=[2]FORM.2!A32</f>
        <v>1</v>
      </c>
      <c r="T34" s="116" t="b">
        <f>E34=[2]FORM.2!D32</f>
        <v>1</v>
      </c>
      <c r="U34" s="116" t="b">
        <f>F34=[2]FORM.2!E32</f>
        <v>1</v>
      </c>
      <c r="V34" s="116" t="b">
        <f>G34=[2]FORM.2!F32</f>
        <v>1</v>
      </c>
      <c r="W34" s="116" t="b">
        <f>I34=[2]FORM.2!H32</f>
        <v>1</v>
      </c>
      <c r="X34" s="116" t="b">
        <f>J34=[2]FORM.2!J32</f>
        <v>1</v>
      </c>
      <c r="Y34" s="116"/>
      <c r="Z34" s="245" t="e">
        <f>#REF!</f>
        <v>#REF!</v>
      </c>
      <c r="AA34" s="116" t="e">
        <f t="shared" si="4"/>
        <v>#REF!</v>
      </c>
      <c r="AB34" s="249"/>
      <c r="AC34" s="249"/>
      <c r="AD34" s="249"/>
      <c r="AE34" s="249"/>
      <c r="AF34" s="249"/>
    </row>
    <row r="35" spans="1:32" s="3" customFormat="1" ht="63" x14ac:dyDescent="0.25">
      <c r="A35" s="47" t="s">
        <v>415</v>
      </c>
      <c r="B35" s="46" t="s">
        <v>398</v>
      </c>
      <c r="C35" s="46" t="s">
        <v>512</v>
      </c>
      <c r="D35" s="46"/>
      <c r="E35" s="47" t="s">
        <v>468</v>
      </c>
      <c r="F35" s="47" t="s">
        <v>469</v>
      </c>
      <c r="G35" s="47" t="s">
        <v>38</v>
      </c>
      <c r="H35" s="47"/>
      <c r="I35" s="47" t="s">
        <v>506</v>
      </c>
      <c r="J35" s="228">
        <v>371331.61</v>
      </c>
      <c r="K35" s="228">
        <v>119659.41</v>
      </c>
      <c r="L35" s="228">
        <v>187081.67</v>
      </c>
      <c r="M35" s="229">
        <f t="shared" ref="M35" si="8">K35+L35</f>
        <v>306741.08</v>
      </c>
      <c r="N35" s="78"/>
      <c r="O35" s="173"/>
      <c r="P35" s="173">
        <f t="shared" ref="P35" si="9">IFERROR(O35/M35*100,)</f>
        <v>0</v>
      </c>
      <c r="Q35" s="79">
        <f t="shared" si="7"/>
        <v>-64590.52999999997</v>
      </c>
      <c r="R35" s="246">
        <f t="shared" si="3"/>
        <v>-17.394298858640116</v>
      </c>
      <c r="S35" s="116" t="b">
        <f>A35=[2]FORM.2!A33</f>
        <v>1</v>
      </c>
      <c r="T35" s="116" t="b">
        <f>E35=[2]FORM.2!D33</f>
        <v>1</v>
      </c>
      <c r="U35" s="116" t="b">
        <f>F35=[2]FORM.2!E33</f>
        <v>1</v>
      </c>
      <c r="V35" s="116" t="b">
        <f>G35=[2]FORM.2!F33</f>
        <v>1</v>
      </c>
      <c r="W35" s="116" t="b">
        <f>I35=[2]FORM.2!H33</f>
        <v>1</v>
      </c>
      <c r="X35" s="116" t="b">
        <f>J35=[2]FORM.2!J33</f>
        <v>1</v>
      </c>
      <c r="Y35" s="116"/>
      <c r="Z35" s="245" t="e">
        <f>#REF!</f>
        <v>#REF!</v>
      </c>
      <c r="AA35" s="116" t="e">
        <f t="shared" si="4"/>
        <v>#REF!</v>
      </c>
      <c r="AC35" s="249"/>
      <c r="AD35" s="249"/>
      <c r="AE35" s="249"/>
    </row>
    <row r="36" spans="1:32" s="3" customFormat="1" ht="63" x14ac:dyDescent="0.25">
      <c r="A36" s="47" t="s">
        <v>411</v>
      </c>
      <c r="B36" s="46" t="s">
        <v>398</v>
      </c>
      <c r="C36" s="46" t="s">
        <v>512</v>
      </c>
      <c r="D36" s="46"/>
      <c r="E36" s="47" t="s">
        <v>470</v>
      </c>
      <c r="F36" s="47" t="s">
        <v>471</v>
      </c>
      <c r="G36" s="47" t="s">
        <v>46</v>
      </c>
      <c r="H36" s="47"/>
      <c r="I36" s="47" t="s">
        <v>507</v>
      </c>
      <c r="J36" s="228">
        <v>10000</v>
      </c>
      <c r="K36" s="228">
        <v>0</v>
      </c>
      <c r="L36" s="228">
        <v>30000</v>
      </c>
      <c r="M36" s="229">
        <f t="shared" si="0"/>
        <v>30000</v>
      </c>
      <c r="N36" s="78"/>
      <c r="O36" s="173"/>
      <c r="P36" s="173">
        <f t="shared" si="1"/>
        <v>0</v>
      </c>
      <c r="Q36" s="79">
        <f t="shared" si="7"/>
        <v>20000</v>
      </c>
      <c r="R36" s="246">
        <f t="shared" si="3"/>
        <v>200</v>
      </c>
      <c r="S36" s="116" t="b">
        <f>A36=[2]FORM.2!A34</f>
        <v>1</v>
      </c>
      <c r="T36" s="116" t="b">
        <f>E36=[2]FORM.2!D34</f>
        <v>1</v>
      </c>
      <c r="U36" s="116" t="b">
        <f>F36=[2]FORM.2!E34</f>
        <v>1</v>
      </c>
      <c r="V36" s="116" t="b">
        <f>G36=[2]FORM.2!F34</f>
        <v>1</v>
      </c>
      <c r="W36" s="116" t="b">
        <f>I36=[2]FORM.2!H34</f>
        <v>1</v>
      </c>
      <c r="X36" s="116" t="b">
        <f>J36=[2]FORM.2!J34</f>
        <v>1</v>
      </c>
      <c r="Y36" s="116"/>
      <c r="Z36" s="245" t="e">
        <f>#REF!</f>
        <v>#REF!</v>
      </c>
      <c r="AA36" s="116" t="e">
        <f t="shared" si="4"/>
        <v>#REF!</v>
      </c>
      <c r="AC36" s="249"/>
      <c r="AD36" s="249"/>
      <c r="AE36" s="249"/>
    </row>
    <row r="37" spans="1:32" s="3" customFormat="1" ht="84" x14ac:dyDescent="0.25">
      <c r="A37" s="47" t="s">
        <v>397</v>
      </c>
      <c r="B37" s="46" t="s">
        <v>412</v>
      </c>
      <c r="C37" s="46" t="s">
        <v>514</v>
      </c>
      <c r="D37" s="46"/>
      <c r="E37" s="47" t="s">
        <v>472</v>
      </c>
      <c r="F37" s="47" t="s">
        <v>473</v>
      </c>
      <c r="G37" s="47" t="s">
        <v>50</v>
      </c>
      <c r="H37" s="47"/>
      <c r="I37" s="47" t="s">
        <v>502</v>
      </c>
      <c r="J37" s="228">
        <v>2000000</v>
      </c>
      <c r="K37" s="228">
        <v>0</v>
      </c>
      <c r="L37" s="228">
        <v>2000000</v>
      </c>
      <c r="M37" s="229">
        <f t="shared" si="0"/>
        <v>2000000</v>
      </c>
      <c r="N37" s="78"/>
      <c r="O37" s="173"/>
      <c r="P37" s="173">
        <f t="shared" si="1"/>
        <v>0</v>
      </c>
      <c r="Q37" s="79">
        <f>M37-J37</f>
        <v>0</v>
      </c>
      <c r="R37" s="246">
        <f t="shared" si="3"/>
        <v>0</v>
      </c>
      <c r="S37" s="116" t="b">
        <f>A37=[2]FORM.2!A35</f>
        <v>1</v>
      </c>
      <c r="T37" s="116" t="b">
        <f>E37=[2]FORM.2!D35</f>
        <v>1</v>
      </c>
      <c r="U37" s="116" t="b">
        <f>F37=[2]FORM.2!E35</f>
        <v>1</v>
      </c>
      <c r="V37" s="116" t="b">
        <f>G37=[2]FORM.2!F35</f>
        <v>1</v>
      </c>
      <c r="W37" s="116" t="b">
        <f>I37=[2]FORM.2!H35</f>
        <v>1</v>
      </c>
      <c r="X37" s="116" t="b">
        <f>J37=[2]FORM.2!J35</f>
        <v>1</v>
      </c>
      <c r="Y37" s="116"/>
      <c r="Z37" s="245" t="e">
        <f>#REF!</f>
        <v>#REF!</v>
      </c>
      <c r="AA37" s="116" t="e">
        <f t="shared" si="4"/>
        <v>#REF!</v>
      </c>
      <c r="AC37" s="249"/>
      <c r="AD37" s="249"/>
      <c r="AE37" s="249"/>
    </row>
    <row r="38" spans="1:32" s="3" customFormat="1" ht="105" x14ac:dyDescent="0.25">
      <c r="A38" s="195" t="s">
        <v>397</v>
      </c>
      <c r="B38" s="46" t="s">
        <v>412</v>
      </c>
      <c r="C38" s="46" t="s">
        <v>513</v>
      </c>
      <c r="D38" s="46"/>
      <c r="E38" s="47" t="s">
        <v>474</v>
      </c>
      <c r="F38" s="47" t="s">
        <v>475</v>
      </c>
      <c r="G38" s="47" t="s">
        <v>38</v>
      </c>
      <c r="H38" s="47"/>
      <c r="I38" s="47" t="s">
        <v>508</v>
      </c>
      <c r="J38" s="228">
        <v>0</v>
      </c>
      <c r="K38" s="228">
        <v>0</v>
      </c>
      <c r="L38" s="228">
        <v>0</v>
      </c>
      <c r="M38" s="229">
        <f t="shared" si="0"/>
        <v>0</v>
      </c>
      <c r="N38" s="78"/>
      <c r="O38" s="173"/>
      <c r="P38" s="173">
        <f t="shared" si="1"/>
        <v>0</v>
      </c>
      <c r="Q38" s="79">
        <f t="shared" ref="Q38" si="10">M38-J38</f>
        <v>0</v>
      </c>
      <c r="R38" s="246">
        <f t="shared" si="3"/>
        <v>0</v>
      </c>
      <c r="S38" s="116" t="b">
        <f>A38=[2]FORM.2!A36</f>
        <v>1</v>
      </c>
      <c r="T38" s="116" t="b">
        <f>E38=[2]FORM.2!D36</f>
        <v>1</v>
      </c>
      <c r="U38" s="116" t="b">
        <f>F38=[2]FORM.2!E36</f>
        <v>1</v>
      </c>
      <c r="V38" s="116" t="b">
        <f>G38=[2]FORM.2!F36</f>
        <v>1</v>
      </c>
      <c r="W38" s="116" t="b">
        <f>I38=[2]FORM.2!H36</f>
        <v>1</v>
      </c>
      <c r="X38" s="116" t="b">
        <f>J38=[2]FORM.2!J36</f>
        <v>1</v>
      </c>
      <c r="Y38" s="116"/>
      <c r="Z38" s="245" t="e">
        <f>#REF!</f>
        <v>#REF!</v>
      </c>
      <c r="AA38" s="116" t="e">
        <f t="shared" si="4"/>
        <v>#REF!</v>
      </c>
      <c r="AC38" s="249"/>
      <c r="AD38" s="249"/>
      <c r="AE38" s="249"/>
    </row>
    <row r="39" spans="1:32" s="3" customFormat="1" ht="63" x14ac:dyDescent="0.25">
      <c r="A39" s="48" t="s">
        <v>397</v>
      </c>
      <c r="B39" s="46" t="s">
        <v>412</v>
      </c>
      <c r="C39" s="46" t="s">
        <v>514</v>
      </c>
      <c r="D39" s="46"/>
      <c r="E39" s="47" t="s">
        <v>476</v>
      </c>
      <c r="F39" s="47" t="s">
        <v>477</v>
      </c>
      <c r="G39" s="47" t="s">
        <v>47</v>
      </c>
      <c r="H39" s="47"/>
      <c r="I39" s="47" t="s">
        <v>509</v>
      </c>
      <c r="J39" s="228">
        <v>10000</v>
      </c>
      <c r="K39" s="228">
        <v>0</v>
      </c>
      <c r="L39" s="228">
        <v>10000</v>
      </c>
      <c r="M39" s="229">
        <f t="shared" ref="M39:M40" si="11">K39+L39</f>
        <v>10000</v>
      </c>
      <c r="N39" s="78"/>
      <c r="O39" s="173"/>
      <c r="P39" s="173">
        <f t="shared" ref="P39:P40" si="12">IFERROR(O39/M39*100,)</f>
        <v>0</v>
      </c>
      <c r="Q39" s="79">
        <f>M39-J39</f>
        <v>0</v>
      </c>
      <c r="R39" s="246">
        <f t="shared" si="3"/>
        <v>0</v>
      </c>
      <c r="S39" s="116" t="b">
        <f>A39=[2]FORM.2!A37</f>
        <v>1</v>
      </c>
      <c r="T39" s="116" t="b">
        <f>E39=[2]FORM.2!D37</f>
        <v>1</v>
      </c>
      <c r="U39" s="116" t="b">
        <f>F39=[2]FORM.2!E37</f>
        <v>1</v>
      </c>
      <c r="V39" s="116" t="b">
        <f>G39=[2]FORM.2!F37</f>
        <v>1</v>
      </c>
      <c r="W39" s="116" t="b">
        <f>I39=[2]FORM.2!H37</f>
        <v>1</v>
      </c>
      <c r="X39" s="116" t="b">
        <f>J39=[2]FORM.2!J37</f>
        <v>1</v>
      </c>
      <c r="Y39" s="116"/>
      <c r="Z39" s="245" t="e">
        <f>#REF!</f>
        <v>#REF!</v>
      </c>
      <c r="AA39" s="116" t="e">
        <f t="shared" si="4"/>
        <v>#REF!</v>
      </c>
      <c r="AC39" s="249"/>
      <c r="AD39" s="249"/>
      <c r="AE39" s="249"/>
    </row>
    <row r="40" spans="1:32" s="3" customFormat="1" ht="42" x14ac:dyDescent="0.25">
      <c r="A40" s="47" t="s">
        <v>397</v>
      </c>
      <c r="B40" s="46" t="s">
        <v>412</v>
      </c>
      <c r="C40" s="46" t="s">
        <v>513</v>
      </c>
      <c r="D40" s="46"/>
      <c r="E40" s="47" t="s">
        <v>478</v>
      </c>
      <c r="F40" s="47" t="s">
        <v>479</v>
      </c>
      <c r="G40" s="47" t="s">
        <v>47</v>
      </c>
      <c r="H40" s="47"/>
      <c r="I40" s="47" t="s">
        <v>510</v>
      </c>
      <c r="J40" s="228">
        <v>15000</v>
      </c>
      <c r="K40" s="228">
        <v>0</v>
      </c>
      <c r="L40" s="228"/>
      <c r="M40" s="229">
        <f t="shared" si="11"/>
        <v>0</v>
      </c>
      <c r="N40" s="78"/>
      <c r="O40" s="173"/>
      <c r="P40" s="173">
        <f t="shared" si="12"/>
        <v>0</v>
      </c>
      <c r="Q40" s="79">
        <f t="shared" ref="Q40" si="13">M40-J40</f>
        <v>-15000</v>
      </c>
      <c r="R40" s="246">
        <f t="shared" si="3"/>
        <v>-100</v>
      </c>
      <c r="S40" s="116" t="b">
        <f>A40=[2]FORM.2!A38</f>
        <v>1</v>
      </c>
      <c r="T40" s="116" t="b">
        <f>E40=[2]FORM.2!D38</f>
        <v>1</v>
      </c>
      <c r="U40" s="116" t="b">
        <f>F40=[2]FORM.2!E38</f>
        <v>1</v>
      </c>
      <c r="V40" s="116" t="b">
        <f>G40=[2]FORM.2!F38</f>
        <v>1</v>
      </c>
      <c r="W40" s="116" t="b">
        <f>I40=[2]FORM.2!H38</f>
        <v>1</v>
      </c>
      <c r="X40" s="116" t="b">
        <f>J40=[2]FORM.2!J38</f>
        <v>1</v>
      </c>
      <c r="Y40" s="116"/>
      <c r="Z40" s="245" t="e">
        <f>#REF!</f>
        <v>#REF!</v>
      </c>
      <c r="AA40" s="116" t="e">
        <f t="shared" si="4"/>
        <v>#REF!</v>
      </c>
      <c r="AC40" s="249"/>
      <c r="AD40" s="249"/>
      <c r="AE40" s="249"/>
    </row>
    <row r="41" spans="1:32" s="3" customFormat="1" ht="29.25" thickBot="1" x14ac:dyDescent="0.3">
      <c r="A41" s="461" t="s">
        <v>16</v>
      </c>
      <c r="B41" s="462"/>
      <c r="C41" s="462"/>
      <c r="D41" s="462"/>
      <c r="E41" s="462"/>
      <c r="F41" s="462"/>
      <c r="G41" s="462"/>
      <c r="H41" s="462"/>
      <c r="I41" s="463"/>
      <c r="J41" s="230">
        <f>SUM(J9:J40)</f>
        <v>6348372.2400000002</v>
      </c>
      <c r="K41" s="230">
        <f t="shared" ref="K41:Q41" si="14">SUM(K9:K40)</f>
        <v>969819.05000000016</v>
      </c>
      <c r="L41" s="230">
        <f t="shared" si="14"/>
        <v>4456470.82</v>
      </c>
      <c r="M41" s="230">
        <f t="shared" si="14"/>
        <v>5426289.8700000001</v>
      </c>
      <c r="N41" s="230">
        <f t="shared" si="14"/>
        <v>0</v>
      </c>
      <c r="O41" s="230">
        <f t="shared" si="14"/>
        <v>0</v>
      </c>
      <c r="P41" s="230">
        <f t="shared" si="14"/>
        <v>0</v>
      </c>
      <c r="Q41" s="230">
        <f t="shared" si="14"/>
        <v>-922082.37000000011</v>
      </c>
      <c r="R41" s="246">
        <f t="shared" si="3"/>
        <v>-14.524705470011948</v>
      </c>
      <c r="S41" s="116"/>
      <c r="T41" s="116"/>
      <c r="U41" s="116"/>
      <c r="V41" s="116"/>
      <c r="W41" s="116"/>
      <c r="X41" s="116" t="b">
        <f>J41=[2]FORM.2!J39</f>
        <v>1</v>
      </c>
      <c r="Y41" s="116"/>
      <c r="Z41" s="245" t="e">
        <f>#REF!</f>
        <v>#REF!</v>
      </c>
      <c r="AA41" s="116" t="e">
        <f>Z41=$K41</f>
        <v>#REF!</v>
      </c>
      <c r="AC41" s="249"/>
      <c r="AD41" s="249"/>
      <c r="AE41" s="249"/>
    </row>
    <row r="42" spans="1:32" s="3" customFormat="1" ht="33" customHeight="1" x14ac:dyDescent="0.3">
      <c r="A42" s="247" t="s">
        <v>296</v>
      </c>
      <c r="B42" s="247"/>
      <c r="C42" s="247"/>
      <c r="D42" s="247"/>
      <c r="E42" s="247"/>
      <c r="F42" s="247"/>
      <c r="G42" s="247"/>
      <c r="H42" s="247"/>
      <c r="I42" s="247"/>
      <c r="J42" s="248"/>
      <c r="K42" s="248"/>
      <c r="L42" s="247"/>
      <c r="M42" s="247"/>
      <c r="N42" s="247"/>
      <c r="O42" s="247"/>
      <c r="P42" s="247"/>
      <c r="Q42" s="247"/>
      <c r="R42" s="247"/>
      <c r="S42" s="116"/>
      <c r="T42" s="116"/>
      <c r="U42" s="116"/>
      <c r="V42" s="116"/>
      <c r="W42" s="116"/>
      <c r="X42" s="116"/>
      <c r="Y42" s="116"/>
      <c r="Z42" s="116"/>
      <c r="AA42" s="116"/>
      <c r="AC42" s="249"/>
      <c r="AD42" s="249"/>
      <c r="AE42" s="249"/>
    </row>
    <row r="43" spans="1:32" s="3" customFormat="1" ht="28.5" x14ac:dyDescent="0.25">
      <c r="A43" s="455" t="s">
        <v>369</v>
      </c>
      <c r="B43" s="455"/>
      <c r="C43" s="455"/>
      <c r="D43" s="455"/>
      <c r="E43" s="455"/>
      <c r="F43" s="455"/>
      <c r="G43" s="455"/>
      <c r="H43" s="455"/>
      <c r="I43" s="455"/>
      <c r="J43" s="455"/>
      <c r="K43" s="455"/>
      <c r="L43" s="455"/>
      <c r="M43" s="455"/>
      <c r="N43" s="455"/>
      <c r="O43" s="455"/>
      <c r="P43" s="455"/>
      <c r="Q43" s="455"/>
      <c r="R43" s="455"/>
      <c r="S43" s="116"/>
      <c r="T43" s="116"/>
      <c r="U43" s="116"/>
      <c r="V43" s="116"/>
      <c r="W43" s="116"/>
      <c r="X43" s="116"/>
      <c r="Y43" s="116"/>
      <c r="Z43" s="116"/>
      <c r="AA43" s="116"/>
      <c r="AC43" s="249"/>
      <c r="AD43" s="249"/>
      <c r="AE43" s="249"/>
    </row>
    <row r="44" spans="1:32" s="3" customFormat="1" ht="130.5" customHeight="1" x14ac:dyDescent="0.25">
      <c r="A44" s="454" t="s">
        <v>707</v>
      </c>
      <c r="B44" s="454"/>
      <c r="C44" s="454"/>
      <c r="D44" s="454"/>
      <c r="E44" s="454"/>
      <c r="F44" s="454"/>
      <c r="G44" s="454"/>
      <c r="H44" s="454"/>
      <c r="I44" s="454"/>
      <c r="J44" s="454"/>
      <c r="K44" s="454"/>
      <c r="L44" s="454"/>
      <c r="M44" s="454"/>
      <c r="N44" s="454"/>
      <c r="O44" s="454"/>
      <c r="P44" s="454"/>
      <c r="Q44" s="454"/>
      <c r="R44" s="454"/>
      <c r="S44" s="116"/>
      <c r="T44" s="116"/>
      <c r="U44" s="116"/>
      <c r="V44" s="116"/>
      <c r="W44" s="116"/>
      <c r="X44" s="116"/>
      <c r="Y44" s="116"/>
      <c r="Z44" s="116"/>
      <c r="AA44" s="116"/>
      <c r="AC44" s="249"/>
      <c r="AD44" s="249"/>
      <c r="AE44" s="249"/>
    </row>
    <row r="45" spans="1:32" s="3" customFormat="1" ht="15" customHeight="1" x14ac:dyDescent="0.25">
      <c r="A45" s="453"/>
      <c r="B45" s="453"/>
      <c r="C45" s="453"/>
      <c r="D45" s="453"/>
      <c r="E45" s="453"/>
      <c r="F45" s="453"/>
      <c r="G45" s="453"/>
      <c r="H45" s="453"/>
      <c r="I45" s="453"/>
      <c r="J45" s="453"/>
      <c r="K45" s="453"/>
      <c r="L45" s="453"/>
      <c r="M45" s="453"/>
      <c r="N45" s="453"/>
      <c r="O45" s="453"/>
      <c r="P45" s="453"/>
      <c r="Q45" s="453"/>
      <c r="R45" s="453"/>
      <c r="S45" s="116"/>
      <c r="T45" s="116"/>
      <c r="U45" s="116"/>
      <c r="V45" s="116"/>
      <c r="W45" s="116"/>
      <c r="X45" s="116"/>
      <c r="Y45" s="116"/>
      <c r="Z45" s="116"/>
      <c r="AA45" s="116"/>
    </row>
    <row r="46" spans="1:32" x14ac:dyDescent="0.4">
      <c r="K46" s="217"/>
      <c r="L46" s="217"/>
      <c r="M46" s="217"/>
    </row>
    <row r="47" spans="1:32" x14ac:dyDescent="0.4">
      <c r="L47" s="217"/>
      <c r="M47" s="217"/>
    </row>
    <row r="48" spans="1:32" x14ac:dyDescent="0.4">
      <c r="L48" s="217"/>
      <c r="M48" s="217"/>
    </row>
    <row r="49" spans="12:13" x14ac:dyDescent="0.4">
      <c r="L49" s="217"/>
      <c r="M49" s="217"/>
    </row>
    <row r="50" spans="12:13" x14ac:dyDescent="0.4">
      <c r="L50" s="217"/>
      <c r="M50" s="217"/>
    </row>
    <row r="51" spans="12:13" x14ac:dyDescent="0.4">
      <c r="L51" s="217"/>
      <c r="M51" s="217"/>
    </row>
    <row r="52" spans="12:13" x14ac:dyDescent="0.4">
      <c r="L52" s="217"/>
      <c r="M52" s="217"/>
    </row>
  </sheetData>
  <sheetProtection formatCells="0" formatRows="0" insertRows="0" deleteRows="0"/>
  <mergeCells count="23">
    <mergeCell ref="A3:R3"/>
    <mergeCell ref="A6:R6"/>
    <mergeCell ref="K7:L7"/>
    <mergeCell ref="D7:D8"/>
    <mergeCell ref="N7:N8"/>
    <mergeCell ref="I7:I8"/>
    <mergeCell ref="A4:R4"/>
    <mergeCell ref="Q7:R7"/>
    <mergeCell ref="A7:A8"/>
    <mergeCell ref="B7:B8"/>
    <mergeCell ref="E7:E8"/>
    <mergeCell ref="G7:G8"/>
    <mergeCell ref="F7:F8"/>
    <mergeCell ref="C7:C8"/>
    <mergeCell ref="A45:R45"/>
    <mergeCell ref="A44:R44"/>
    <mergeCell ref="A43:R43"/>
    <mergeCell ref="J7:J8"/>
    <mergeCell ref="O7:O8"/>
    <mergeCell ref="M7:M8"/>
    <mergeCell ref="A41:I41"/>
    <mergeCell ref="H7:H8"/>
    <mergeCell ref="P7:P8"/>
  </mergeCells>
  <dataValidations count="1">
    <dataValidation type="list" allowBlank="1" showInputMessage="1" showErrorMessage="1" sqref="G9:H40">
      <formula1>#REF!</formula1>
    </dataValidation>
  </dataValidations>
  <pageMargins left="0.23622047244094491" right="0.23622047244094491" top="0.27" bottom="0.17" header="0.31496062992125984" footer="0.31496062992125984"/>
  <pageSetup paperSize="9" scale="26" fitToHeight="0"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7">
    <pageSetUpPr fitToPage="1"/>
  </sheetPr>
  <dimension ref="A3:AB67"/>
  <sheetViews>
    <sheetView showGridLines="0" view="pageBreakPreview" topLeftCell="A20" zoomScale="80" zoomScaleNormal="70" zoomScaleSheetLayoutView="80" workbookViewId="0">
      <selection activeCell="C73" sqref="C73"/>
    </sheetView>
  </sheetViews>
  <sheetFormatPr defaultRowHeight="15" x14ac:dyDescent="0.25"/>
  <cols>
    <col min="1" max="1" width="45.140625" customWidth="1"/>
    <col min="2" max="2" width="23.140625" bestFit="1" customWidth="1"/>
    <col min="3" max="3" width="33.42578125" style="252" customWidth="1"/>
    <col min="4" max="4" width="29.5703125" style="252" customWidth="1"/>
    <col min="5" max="5" width="34.7109375" style="252" customWidth="1"/>
    <col min="6" max="6" width="27.85546875" style="252" customWidth="1"/>
    <col min="7" max="7" width="17.28515625" customWidth="1"/>
    <col min="8" max="9" width="17.42578125" customWidth="1"/>
    <col min="10" max="10" width="14.42578125" bestFit="1" customWidth="1"/>
    <col min="11" max="11" width="17.5703125" customWidth="1"/>
    <col min="12" max="12" width="37.7109375" bestFit="1" customWidth="1"/>
    <col min="13" max="13" width="15.7109375" bestFit="1" customWidth="1"/>
    <col min="15" max="15" width="33.5703125" customWidth="1"/>
  </cols>
  <sheetData>
    <row r="3" spans="1:28" ht="30.75" customHeight="1" x14ac:dyDescent="0.25"/>
    <row r="4" spans="1:28" ht="79.5" customHeight="1" x14ac:dyDescent="0.25">
      <c r="A4" s="490" t="s">
        <v>350</v>
      </c>
      <c r="B4" s="490"/>
      <c r="C4" s="490"/>
      <c r="D4" s="490"/>
      <c r="E4" s="490"/>
      <c r="F4" s="490"/>
      <c r="G4" s="490"/>
      <c r="H4" s="490"/>
      <c r="I4" s="490"/>
    </row>
    <row r="5" spans="1:28" ht="21" x14ac:dyDescent="0.25">
      <c r="A5" s="501" t="s">
        <v>73</v>
      </c>
      <c r="B5" s="502"/>
      <c r="C5" s="502"/>
      <c r="D5" s="502"/>
      <c r="E5" s="502"/>
      <c r="F5" s="502"/>
      <c r="G5" s="502"/>
      <c r="H5" s="502"/>
      <c r="I5" s="503"/>
    </row>
    <row r="6" spans="1:28" s="1" customFormat="1" ht="24" customHeight="1" x14ac:dyDescent="0.25">
      <c r="A6" s="504" t="s">
        <v>353</v>
      </c>
      <c r="B6" s="505"/>
      <c r="C6" s="505"/>
      <c r="D6" s="505"/>
      <c r="E6" s="505"/>
      <c r="F6" s="505"/>
      <c r="G6" s="505"/>
      <c r="H6" s="505"/>
      <c r="I6" s="506"/>
      <c r="J6" s="4"/>
      <c r="K6" s="4"/>
      <c r="L6" s="4"/>
      <c r="M6" s="4"/>
      <c r="N6" s="4"/>
    </row>
    <row r="7" spans="1:28" ht="44.25" customHeight="1" x14ac:dyDescent="0.25">
      <c r="A7" s="511" t="s">
        <v>17</v>
      </c>
      <c r="B7" s="512"/>
      <c r="C7" s="496" t="s">
        <v>345</v>
      </c>
      <c r="D7" s="492" t="s">
        <v>304</v>
      </c>
      <c r="E7" s="493"/>
      <c r="F7" s="494"/>
      <c r="G7" s="510" t="s">
        <v>35</v>
      </c>
      <c r="H7" s="510"/>
      <c r="I7" s="495" t="s">
        <v>306</v>
      </c>
      <c r="K7" s="31"/>
      <c r="L7" s="31"/>
      <c r="M7" s="31"/>
      <c r="N7" s="31"/>
      <c r="O7" s="31"/>
      <c r="P7" s="31"/>
      <c r="Q7" s="31"/>
      <c r="R7" s="31"/>
      <c r="S7" s="31"/>
      <c r="T7" s="31"/>
      <c r="U7" s="31"/>
      <c r="V7" s="31"/>
      <c r="W7" s="31"/>
      <c r="X7" s="31"/>
      <c r="Y7" s="5"/>
      <c r="Z7" s="5"/>
      <c r="AA7" s="5"/>
      <c r="AB7" s="5"/>
    </row>
    <row r="8" spans="1:28" ht="46.15" customHeight="1" x14ac:dyDescent="0.25">
      <c r="A8" s="511"/>
      <c r="B8" s="512"/>
      <c r="C8" s="497"/>
      <c r="D8" s="253" t="s">
        <v>392</v>
      </c>
      <c r="E8" s="253" t="s">
        <v>391</v>
      </c>
      <c r="F8" s="254" t="s">
        <v>305</v>
      </c>
      <c r="G8" s="140" t="s">
        <v>307</v>
      </c>
      <c r="H8" s="141" t="s">
        <v>308</v>
      </c>
      <c r="I8" s="495"/>
      <c r="K8" s="5"/>
      <c r="L8" s="5"/>
      <c r="M8" s="5"/>
      <c r="N8" s="5"/>
      <c r="O8" s="5"/>
      <c r="P8" s="5"/>
      <c r="Q8" s="5"/>
      <c r="R8" s="5"/>
      <c r="S8" s="5"/>
      <c r="T8" s="5"/>
      <c r="U8" s="5"/>
      <c r="V8" s="5"/>
      <c r="W8" s="5"/>
      <c r="X8" s="5"/>
      <c r="Y8" s="5"/>
      <c r="Z8" s="5"/>
      <c r="AA8" s="5"/>
      <c r="AB8" s="5"/>
    </row>
    <row r="9" spans="1:28" ht="24.95" customHeight="1" x14ac:dyDescent="0.25">
      <c r="A9" s="513" t="s">
        <v>18</v>
      </c>
      <c r="B9" s="514"/>
      <c r="C9" s="255"/>
      <c r="D9" s="255"/>
      <c r="E9" s="255"/>
      <c r="F9" s="255"/>
      <c r="G9" s="65"/>
      <c r="H9" s="66"/>
      <c r="I9" s="66"/>
      <c r="K9" s="5"/>
      <c r="L9" s="5"/>
      <c r="M9" s="5"/>
      <c r="N9" s="5"/>
      <c r="O9" s="5"/>
      <c r="P9" s="5"/>
      <c r="Q9" s="5"/>
      <c r="R9" s="5"/>
      <c r="S9" s="5"/>
      <c r="T9" s="5"/>
      <c r="U9" s="5"/>
      <c r="V9" s="5"/>
      <c r="W9" s="5"/>
      <c r="X9" s="5"/>
      <c r="Y9" s="5"/>
      <c r="Z9" s="5"/>
      <c r="AA9" s="5"/>
      <c r="AB9" s="5"/>
    </row>
    <row r="10" spans="1:28" ht="29.25" customHeight="1" x14ac:dyDescent="0.25">
      <c r="A10" s="491" t="s">
        <v>19</v>
      </c>
      <c r="B10" s="491"/>
      <c r="C10" s="256">
        <f>C11+C21+C22+C23</f>
        <v>3788372.24</v>
      </c>
      <c r="D10" s="256">
        <f>D11+D21+D22+D23</f>
        <v>1788375.4999999998</v>
      </c>
      <c r="E10" s="256">
        <f>E11+E21+E22+E23</f>
        <v>1077914.3700000001</v>
      </c>
      <c r="F10" s="256">
        <f>F11+F21+F22+F23</f>
        <v>2866289.87</v>
      </c>
      <c r="G10" s="49">
        <f>F10-C10</f>
        <v>-922082.37000000011</v>
      </c>
      <c r="H10" s="50">
        <f>IFERROR(G10/C10*100,)</f>
        <v>-24.339803788658323</v>
      </c>
      <c r="I10" s="50">
        <f>IFERROR(F10/$F$27*100,0)</f>
        <v>52.822277074556659</v>
      </c>
      <c r="J10" s="7"/>
      <c r="K10" s="630"/>
      <c r="L10" s="630"/>
      <c r="M10" s="630"/>
      <c r="N10" s="630"/>
      <c r="O10" s="630"/>
      <c r="P10" s="5"/>
      <c r="Q10" s="5"/>
      <c r="R10" s="5"/>
      <c r="S10" s="5"/>
      <c r="T10" s="5"/>
      <c r="U10" s="5"/>
      <c r="V10" s="5"/>
      <c r="W10" s="5"/>
      <c r="X10" s="5"/>
      <c r="Y10" s="5"/>
      <c r="Z10" s="5"/>
      <c r="AA10" s="5"/>
      <c r="AB10" s="5"/>
    </row>
    <row r="11" spans="1:28" ht="29.25" customHeight="1" x14ac:dyDescent="0.25">
      <c r="A11" s="481" t="s">
        <v>124</v>
      </c>
      <c r="B11" s="481"/>
      <c r="C11" s="256">
        <f>C12+C19+C20</f>
        <v>3694018.24</v>
      </c>
      <c r="D11" s="256">
        <f>D12+D19+D20</f>
        <v>1739808.8299999998</v>
      </c>
      <c r="E11" s="256">
        <f>E12+E19+E20</f>
        <v>1043367.64</v>
      </c>
      <c r="F11" s="256">
        <f>F12+F19+F20</f>
        <v>2783176.47</v>
      </c>
      <c r="G11" s="49">
        <f t="shared" ref="G11:G12" si="0">F11-C11</f>
        <v>-910841.77</v>
      </c>
      <c r="H11" s="50">
        <f t="shared" ref="H11:H36" si="1">IFERROR(G11/C11*100,)</f>
        <v>-24.657208243779543</v>
      </c>
      <c r="I11" s="50">
        <f t="shared" ref="I11:I27" si="2">IFERROR(F11/$F$27*100,0)</f>
        <v>51.290597013388087</v>
      </c>
      <c r="J11" s="7"/>
      <c r="K11" s="630"/>
      <c r="L11" s="630"/>
      <c r="M11" s="630"/>
      <c r="N11" s="630"/>
      <c r="O11" s="630"/>
      <c r="P11" s="5"/>
      <c r="Q11" s="5"/>
      <c r="R11" s="5"/>
      <c r="S11" s="5"/>
      <c r="T11" s="5"/>
      <c r="U11" s="5"/>
      <c r="V11" s="5"/>
      <c r="W11" s="5"/>
      <c r="X11" s="5"/>
      <c r="Y11" s="5"/>
      <c r="Z11" s="5"/>
      <c r="AA11" s="5"/>
      <c r="AB11" s="5"/>
    </row>
    <row r="12" spans="1:28" ht="29.25" customHeight="1" x14ac:dyDescent="0.25">
      <c r="A12" s="481" t="s">
        <v>20</v>
      </c>
      <c r="B12" s="481"/>
      <c r="C12" s="256">
        <f>C13+C16</f>
        <v>2006157.24</v>
      </c>
      <c r="D12" s="256">
        <f>D13+D16</f>
        <v>1124769.3999999999</v>
      </c>
      <c r="E12" s="256">
        <f>E13+E16</f>
        <v>488810.33999999997</v>
      </c>
      <c r="F12" s="256">
        <f>F13+F16</f>
        <v>1613579.74</v>
      </c>
      <c r="G12" s="49">
        <f t="shared" si="0"/>
        <v>-392577.5</v>
      </c>
      <c r="H12" s="50">
        <f t="shared" si="1"/>
        <v>-19.568630622393286</v>
      </c>
      <c r="I12" s="50">
        <f t="shared" si="2"/>
        <v>29.736335113995672</v>
      </c>
      <c r="J12" s="7"/>
      <c r="K12" s="630"/>
      <c r="L12" s="631"/>
      <c r="M12" s="631"/>
      <c r="N12" s="632"/>
      <c r="O12" s="632"/>
      <c r="P12" s="477"/>
      <c r="Q12" s="477"/>
      <c r="R12" s="477"/>
      <c r="S12" s="477"/>
      <c r="T12" s="5"/>
      <c r="U12" s="5"/>
      <c r="V12" s="5"/>
      <c r="W12" s="5"/>
      <c r="X12" s="5"/>
      <c r="Y12" s="5"/>
      <c r="Z12" s="5"/>
      <c r="AA12" s="5"/>
      <c r="AB12" s="5"/>
    </row>
    <row r="13" spans="1:28" ht="29.25" customHeight="1" x14ac:dyDescent="0.25">
      <c r="A13" s="482" t="s">
        <v>21</v>
      </c>
      <c r="B13" s="482"/>
      <c r="C13" s="257">
        <f>SUM(C14:C15)</f>
        <v>1658683.24</v>
      </c>
      <c r="D13" s="257">
        <f>SUM(D14:D15)</f>
        <v>1002554.94</v>
      </c>
      <c r="E13" s="257">
        <f>SUM(E14:E15)</f>
        <v>419949.25999999995</v>
      </c>
      <c r="F13" s="273">
        <f>SUM(F14:F15)</f>
        <v>1422504.2</v>
      </c>
      <c r="G13" s="49">
        <f>F13-C13</f>
        <v>-236179.04000000004</v>
      </c>
      <c r="H13" s="50">
        <f t="shared" si="1"/>
        <v>-14.238947757137765</v>
      </c>
      <c r="I13" s="50">
        <f t="shared" si="2"/>
        <v>26.215042581202908</v>
      </c>
      <c r="J13" s="7"/>
      <c r="K13" s="250"/>
      <c r="L13" s="633"/>
      <c r="M13" s="633"/>
      <c r="N13" s="632"/>
      <c r="O13" s="632"/>
      <c r="P13" s="477"/>
      <c r="Q13" s="477"/>
      <c r="R13" s="477"/>
      <c r="S13" s="477"/>
      <c r="T13" s="5"/>
      <c r="U13" s="5"/>
      <c r="V13" s="5"/>
      <c r="W13" s="5"/>
      <c r="X13" s="5"/>
      <c r="Y13" s="5"/>
      <c r="Z13" s="5"/>
      <c r="AA13" s="5"/>
      <c r="AB13" s="5"/>
    </row>
    <row r="14" spans="1:28" ht="29.25" customHeight="1" x14ac:dyDescent="0.25">
      <c r="A14" s="483" t="s">
        <v>275</v>
      </c>
      <c r="B14" s="483"/>
      <c r="C14" s="257">
        <v>1458683</v>
      </c>
      <c r="D14" s="258">
        <v>804484.88</v>
      </c>
      <c r="E14" s="257">
        <f>F14-D14</f>
        <v>318019.31999999995</v>
      </c>
      <c r="F14" s="273">
        <v>1122504.2</v>
      </c>
      <c r="G14" s="49">
        <f>F14-C14</f>
        <v>-336178.80000000005</v>
      </c>
      <c r="H14" s="50">
        <f t="shared" si="1"/>
        <v>-23.046734622944122</v>
      </c>
      <c r="I14" s="50">
        <f t="shared" si="2"/>
        <v>20.686403175877516</v>
      </c>
      <c r="J14" s="7"/>
      <c r="K14" s="251"/>
      <c r="L14" s="251"/>
      <c r="M14" s="251"/>
      <c r="N14" s="634"/>
      <c r="O14" s="634"/>
      <c r="P14" s="67"/>
      <c r="Q14" s="67"/>
      <c r="R14" s="67"/>
      <c r="S14" s="67"/>
      <c r="T14" s="5"/>
      <c r="U14" s="5"/>
      <c r="V14" s="5"/>
      <c r="W14" s="5"/>
      <c r="X14" s="5"/>
      <c r="Y14" s="5"/>
      <c r="Z14" s="5"/>
      <c r="AA14" s="5"/>
      <c r="AB14" s="5"/>
    </row>
    <row r="15" spans="1:28" ht="29.25" customHeight="1" x14ac:dyDescent="0.25">
      <c r="A15" s="483" t="s">
        <v>109</v>
      </c>
      <c r="B15" s="483"/>
      <c r="C15" s="257">
        <v>200000.24</v>
      </c>
      <c r="D15" s="258">
        <v>198070.06</v>
      </c>
      <c r="E15" s="257">
        <f>F15-D15</f>
        <v>101929.94</v>
      </c>
      <c r="F15" s="257">
        <v>300000</v>
      </c>
      <c r="G15" s="49">
        <f t="shared" ref="G15:G36" si="3">F15-C15</f>
        <v>99999.760000000009</v>
      </c>
      <c r="H15" s="50">
        <f t="shared" si="1"/>
        <v>49.999820000216005</v>
      </c>
      <c r="I15" s="50">
        <f t="shared" si="2"/>
        <v>5.5286394053253929</v>
      </c>
      <c r="J15" s="7"/>
      <c r="K15" s="251"/>
      <c r="L15" s="634"/>
      <c r="M15" s="634"/>
      <c r="N15" s="634"/>
      <c r="O15" s="634"/>
      <c r="P15" s="67"/>
      <c r="Q15" s="67"/>
      <c r="R15" s="67"/>
      <c r="S15" s="67"/>
      <c r="T15" s="5"/>
      <c r="U15" s="5"/>
      <c r="V15" s="5"/>
      <c r="W15" s="5"/>
      <c r="X15" s="5"/>
      <c r="Y15" s="5"/>
      <c r="Z15" s="5"/>
      <c r="AA15" s="5"/>
      <c r="AB15" s="5"/>
    </row>
    <row r="16" spans="1:28" ht="29.25" customHeight="1" x14ac:dyDescent="0.25">
      <c r="A16" s="481" t="s">
        <v>22</v>
      </c>
      <c r="B16" s="481"/>
      <c r="C16" s="259">
        <f>SUM(C17:C18)</f>
        <v>347474</v>
      </c>
      <c r="D16" s="259">
        <f>SUM(D17:D18)</f>
        <v>122214.46</v>
      </c>
      <c r="E16" s="259">
        <f>SUM(E17:E18)</f>
        <v>68861.08</v>
      </c>
      <c r="F16" s="274">
        <f>SUM(F17:F18)</f>
        <v>191075.54</v>
      </c>
      <c r="G16" s="49">
        <f t="shared" si="3"/>
        <v>-156398.46</v>
      </c>
      <c r="H16" s="50">
        <f t="shared" si="1"/>
        <v>-45.010118742697294</v>
      </c>
      <c r="I16" s="50">
        <f t="shared" si="2"/>
        <v>3.5212925327927609</v>
      </c>
      <c r="J16" s="7"/>
      <c r="K16" s="251"/>
      <c r="L16" s="7"/>
      <c r="M16" s="7"/>
      <c r="N16" s="7"/>
      <c r="O16" s="7"/>
    </row>
    <row r="17" spans="1:15" ht="29.25" customHeight="1" x14ac:dyDescent="0.25">
      <c r="A17" s="483" t="s">
        <v>276</v>
      </c>
      <c r="B17" s="483"/>
      <c r="C17" s="260">
        <v>312474</v>
      </c>
      <c r="D17" s="278">
        <v>107305.86</v>
      </c>
      <c r="E17" s="260">
        <f>F17-D17</f>
        <v>58769.680000000008</v>
      </c>
      <c r="F17" s="277">
        <v>166075.54</v>
      </c>
      <c r="G17" s="49">
        <f t="shared" si="3"/>
        <v>-146398.46</v>
      </c>
      <c r="H17" s="50">
        <f t="shared" si="1"/>
        <v>-46.85140523691571</v>
      </c>
      <c r="I17" s="50">
        <f t="shared" si="2"/>
        <v>3.060572582348978</v>
      </c>
      <c r="J17" s="7"/>
      <c r="K17" s="251"/>
      <c r="L17" s="251"/>
      <c r="M17" s="7"/>
      <c r="N17" s="7"/>
      <c r="O17" s="7"/>
    </row>
    <row r="18" spans="1:15" ht="29.25" customHeight="1" x14ac:dyDescent="0.25">
      <c r="A18" s="483" t="s">
        <v>110</v>
      </c>
      <c r="B18" s="483"/>
      <c r="C18" s="260">
        <v>35000</v>
      </c>
      <c r="D18" s="278">
        <v>14908.6</v>
      </c>
      <c r="E18" s="260">
        <f>F18-D18</f>
        <v>10091.4</v>
      </c>
      <c r="F18" s="260">
        <v>25000</v>
      </c>
      <c r="G18" s="49">
        <f t="shared" si="3"/>
        <v>-10000</v>
      </c>
      <c r="H18" s="50">
        <f t="shared" si="1"/>
        <v>-28.571428571428569</v>
      </c>
      <c r="I18" s="50">
        <f t="shared" si="2"/>
        <v>0.46071995044378267</v>
      </c>
      <c r="J18" s="7"/>
      <c r="K18" s="251"/>
      <c r="L18" s="7"/>
      <c r="M18" s="7"/>
      <c r="N18" s="7"/>
      <c r="O18" s="7"/>
    </row>
    <row r="19" spans="1:15" ht="29.25" customHeight="1" x14ac:dyDescent="0.25">
      <c r="A19" s="482" t="s">
        <v>92</v>
      </c>
      <c r="B19" s="482"/>
      <c r="C19" s="261">
        <v>1538908</v>
      </c>
      <c r="D19" s="279">
        <v>558061.38</v>
      </c>
      <c r="E19" s="261">
        <f>F19-D19</f>
        <v>503788.66000000003</v>
      </c>
      <c r="F19" s="279">
        <v>1061850.04</v>
      </c>
      <c r="G19" s="49">
        <f t="shared" si="3"/>
        <v>-477057.95999999996</v>
      </c>
      <c r="H19" s="50">
        <f t="shared" si="1"/>
        <v>-30.999771266378495</v>
      </c>
      <c r="I19" s="50">
        <f t="shared" si="2"/>
        <v>19.568619912301148</v>
      </c>
      <c r="J19" s="7"/>
      <c r="K19" s="635"/>
      <c r="L19" s="635"/>
      <c r="M19" s="7"/>
      <c r="N19" s="7"/>
      <c r="O19" s="7"/>
    </row>
    <row r="20" spans="1:15" ht="29.25" customHeight="1" x14ac:dyDescent="0.25">
      <c r="A20" s="482" t="s">
        <v>74</v>
      </c>
      <c r="B20" s="482"/>
      <c r="C20" s="261">
        <v>148953</v>
      </c>
      <c r="D20" s="261">
        <f>2272.44+151.62+26701.36+27259.11+593.52</f>
        <v>56978.049999999996</v>
      </c>
      <c r="E20" s="261">
        <f>F20-D20</f>
        <v>50768.640000000007</v>
      </c>
      <c r="F20" s="279">
        <v>107746.69</v>
      </c>
      <c r="G20" s="49">
        <f t="shared" si="3"/>
        <v>-41206.31</v>
      </c>
      <c r="H20" s="50">
        <f t="shared" si="1"/>
        <v>-27.663967828778201</v>
      </c>
      <c r="I20" s="50">
        <f t="shared" si="2"/>
        <v>1.9856419870912647</v>
      </c>
      <c r="J20" s="7"/>
      <c r="K20" s="635"/>
      <c r="L20" s="635"/>
      <c r="M20" s="7"/>
      <c r="N20" s="7"/>
      <c r="O20" s="7"/>
    </row>
    <row r="21" spans="1:15" ht="29.25" customHeight="1" x14ac:dyDescent="0.25">
      <c r="A21" s="482" t="s">
        <v>23</v>
      </c>
      <c r="B21" s="482"/>
      <c r="C21" s="261">
        <v>84000</v>
      </c>
      <c r="D21" s="279">
        <v>41478.46</v>
      </c>
      <c r="E21" s="261">
        <f>3500*6</f>
        <v>21000</v>
      </c>
      <c r="F21" s="261">
        <f>D21+E21</f>
        <v>62478.46</v>
      </c>
      <c r="G21" s="49">
        <f t="shared" si="3"/>
        <v>-21521.54</v>
      </c>
      <c r="H21" s="50">
        <f t="shared" si="1"/>
        <v>-25.620880952380954</v>
      </c>
      <c r="I21" s="50">
        <f t="shared" si="2"/>
        <v>1.1514029198001543</v>
      </c>
      <c r="J21" s="7"/>
      <c r="K21" s="635"/>
      <c r="L21" s="7"/>
      <c r="M21" s="7"/>
      <c r="N21" s="7"/>
      <c r="O21" s="7"/>
    </row>
    <row r="22" spans="1:15" ht="29.25" customHeight="1" x14ac:dyDescent="0.25">
      <c r="A22" s="482" t="s">
        <v>278</v>
      </c>
      <c r="B22" s="482"/>
      <c r="C22" s="262">
        <v>10354</v>
      </c>
      <c r="D22" s="274">
        <v>7088.21</v>
      </c>
      <c r="E22" s="274">
        <f>2314.44+11232.29</f>
        <v>13546.730000000001</v>
      </c>
      <c r="F22" s="262">
        <f>D22+E22</f>
        <v>20634.940000000002</v>
      </c>
      <c r="G22" s="49">
        <f t="shared" si="3"/>
        <v>10280.940000000002</v>
      </c>
      <c r="H22" s="50">
        <f t="shared" si="1"/>
        <v>99.294378983967562</v>
      </c>
      <c r="I22" s="50">
        <f t="shared" si="2"/>
        <v>0.38027714136841717</v>
      </c>
      <c r="J22" s="7"/>
      <c r="K22" s="635"/>
      <c r="L22" s="635"/>
      <c r="M22" s="635"/>
      <c r="N22" s="636"/>
      <c r="O22" s="635"/>
    </row>
    <row r="23" spans="1:15" ht="29.25" customHeight="1" x14ac:dyDescent="0.25">
      <c r="A23" s="482" t="s">
        <v>24</v>
      </c>
      <c r="B23" s="482"/>
      <c r="C23" s="262"/>
      <c r="D23" s="262"/>
      <c r="E23" s="262"/>
      <c r="F23" s="262"/>
      <c r="G23" s="49">
        <f t="shared" si="3"/>
        <v>0</v>
      </c>
      <c r="H23" s="50">
        <f t="shared" si="1"/>
        <v>0</v>
      </c>
      <c r="I23" s="50">
        <f t="shared" si="2"/>
        <v>0</v>
      </c>
      <c r="J23" s="7"/>
      <c r="K23" s="7"/>
      <c r="L23" s="7"/>
      <c r="M23" s="7"/>
      <c r="N23" s="7"/>
      <c r="O23" s="7"/>
    </row>
    <row r="24" spans="1:15" ht="29.25" customHeight="1" x14ac:dyDescent="0.25">
      <c r="A24" s="491" t="s">
        <v>25</v>
      </c>
      <c r="B24" s="491"/>
      <c r="C24" s="256">
        <f>SUM(C25:C26)</f>
        <v>2560000</v>
      </c>
      <c r="D24" s="256">
        <f>SUM(D25:D26)</f>
        <v>15148</v>
      </c>
      <c r="E24" s="256">
        <f>SUM(E25:E26)</f>
        <v>2544852</v>
      </c>
      <c r="F24" s="256">
        <f>SUM(F25:F26)</f>
        <v>2560000</v>
      </c>
      <c r="G24" s="49">
        <f t="shared" si="3"/>
        <v>0</v>
      </c>
      <c r="H24" s="50">
        <f t="shared" si="1"/>
        <v>0</v>
      </c>
      <c r="I24" s="50">
        <f t="shared" si="2"/>
        <v>47.177722925443341</v>
      </c>
      <c r="J24" s="7"/>
      <c r="K24" s="7"/>
      <c r="L24" s="7"/>
      <c r="M24" s="7"/>
      <c r="N24" s="7"/>
      <c r="O24" s="7"/>
    </row>
    <row r="25" spans="1:15" ht="39.75" customHeight="1" x14ac:dyDescent="0.25">
      <c r="A25" s="482" t="s">
        <v>26</v>
      </c>
      <c r="B25" s="482"/>
      <c r="C25" s="262">
        <v>2560000</v>
      </c>
      <c r="D25" s="274">
        <v>15148</v>
      </c>
      <c r="E25" s="262">
        <f>F25-D25</f>
        <v>2544852</v>
      </c>
      <c r="F25" s="262">
        <v>2560000</v>
      </c>
      <c r="G25" s="49">
        <f t="shared" si="3"/>
        <v>0</v>
      </c>
      <c r="H25" s="50">
        <f t="shared" si="1"/>
        <v>0</v>
      </c>
      <c r="I25" s="50">
        <f t="shared" si="2"/>
        <v>47.177722925443341</v>
      </c>
      <c r="J25" s="7"/>
      <c r="K25" s="635"/>
      <c r="L25" s="7"/>
      <c r="M25" s="7"/>
      <c r="N25" s="7"/>
      <c r="O25" s="7"/>
    </row>
    <row r="26" spans="1:15" ht="29.25" customHeight="1" x14ac:dyDescent="0.25">
      <c r="A26" s="482" t="s">
        <v>277</v>
      </c>
      <c r="B26" s="482"/>
      <c r="C26" s="262"/>
      <c r="D26" s="262"/>
      <c r="E26" s="262"/>
      <c r="F26" s="262"/>
      <c r="G26" s="49">
        <f t="shared" si="3"/>
        <v>0</v>
      </c>
      <c r="H26" s="50">
        <f t="shared" si="1"/>
        <v>0</v>
      </c>
      <c r="I26" s="50">
        <f t="shared" si="2"/>
        <v>0</v>
      </c>
      <c r="J26" s="7"/>
      <c r="K26" s="635"/>
      <c r="L26" s="7"/>
      <c r="M26" s="7"/>
      <c r="N26" s="7"/>
      <c r="O26" s="7"/>
    </row>
    <row r="27" spans="1:15" ht="24.95" customHeight="1" x14ac:dyDescent="0.25">
      <c r="A27" s="491" t="s">
        <v>27</v>
      </c>
      <c r="B27" s="491"/>
      <c r="C27" s="256">
        <f>SUM(C10,C24)</f>
        <v>6348372.2400000002</v>
      </c>
      <c r="D27" s="256">
        <f>SUM(D10,D24)</f>
        <v>1803523.4999999998</v>
      </c>
      <c r="E27" s="256">
        <f>SUM(E10,E24)</f>
        <v>3622766.37</v>
      </c>
      <c r="F27" s="256">
        <f>SUM(F10,F24)</f>
        <v>5426289.8700000001</v>
      </c>
      <c r="G27" s="49">
        <f t="shared" si="3"/>
        <v>-922082.37000000011</v>
      </c>
      <c r="H27" s="50">
        <f t="shared" si="1"/>
        <v>-14.524705470011948</v>
      </c>
      <c r="I27" s="50">
        <f t="shared" si="2"/>
        <v>100</v>
      </c>
      <c r="J27" s="7"/>
      <c r="K27" s="7"/>
      <c r="L27" s="7"/>
      <c r="M27" s="7"/>
      <c r="N27" s="7"/>
      <c r="O27" s="7"/>
    </row>
    <row r="28" spans="1:15" ht="24.95" customHeight="1" x14ac:dyDescent="0.25">
      <c r="A28" s="515" t="s">
        <v>28</v>
      </c>
      <c r="B28" s="515"/>
      <c r="C28" s="263"/>
      <c r="D28" s="263"/>
      <c r="E28" s="263"/>
      <c r="F28" s="263"/>
      <c r="G28" s="52">
        <f t="shared" si="3"/>
        <v>0</v>
      </c>
      <c r="H28" s="53"/>
      <c r="I28" s="53"/>
      <c r="J28" s="7"/>
      <c r="K28" s="7"/>
      <c r="L28" s="7"/>
      <c r="M28" s="7"/>
      <c r="N28" s="7"/>
      <c r="O28" s="7"/>
    </row>
    <row r="29" spans="1:15" ht="24.95" customHeight="1" x14ac:dyDescent="0.25">
      <c r="A29" s="481" t="s">
        <v>29</v>
      </c>
      <c r="B29" s="481"/>
      <c r="C29" s="256">
        <f>SUM(C30:C32)</f>
        <v>6052318.2400000002</v>
      </c>
      <c r="D29" s="256">
        <f>SUM(D30:D32)</f>
        <v>867927.99000000022</v>
      </c>
      <c r="E29" s="256">
        <f>SUM(E30:E32)</f>
        <v>4337233.0299999993</v>
      </c>
      <c r="F29" s="256">
        <f>SUM(F30:F32)</f>
        <v>5205161.0199999996</v>
      </c>
      <c r="G29" s="49">
        <f>F29-C29</f>
        <v>-847157.22000000067</v>
      </c>
      <c r="H29" s="50">
        <f>IFERROR(G29/C29*100,)</f>
        <v>-13.997235214782769</v>
      </c>
      <c r="I29" s="50">
        <f t="shared" ref="I29:I36" si="4">IFERROR(F29/$F$36*100,0)</f>
        <v>95.924861087452356</v>
      </c>
      <c r="J29" s="7"/>
      <c r="K29" s="7"/>
      <c r="L29" s="7"/>
      <c r="M29" s="7"/>
      <c r="N29" s="7"/>
      <c r="O29" s="7"/>
    </row>
    <row r="30" spans="1:15" ht="24.95" customHeight="1" x14ac:dyDescent="0.25">
      <c r="A30" s="482" t="s">
        <v>30</v>
      </c>
      <c r="B30" s="482"/>
      <c r="C30" s="264">
        <f>SUMIF('Quadro Geral'!B9:B40,"p",'Quadro Geral'!J9:J40)</f>
        <v>3161000</v>
      </c>
      <c r="D30" s="264">
        <f>SUMIF('Quadro Geral'!B9:B40,"p",'Quadro Geral'!K9:K40)</f>
        <v>21504.91</v>
      </c>
      <c r="E30" s="264">
        <f>SUMIF('Quadro Geral'!B9:B40,"p",'Quadro Geral'!L9:L40)</f>
        <v>2928495.09</v>
      </c>
      <c r="F30" s="264">
        <f t="shared" ref="F30:F35" si="5">D30+E30</f>
        <v>2950000</v>
      </c>
      <c r="G30" s="49">
        <f t="shared" si="3"/>
        <v>-211000</v>
      </c>
      <c r="H30" s="50">
        <f t="shared" si="1"/>
        <v>-6.6751028155646948</v>
      </c>
      <c r="I30" s="50">
        <f t="shared" si="4"/>
        <v>54.364954152366352</v>
      </c>
      <c r="J30" s="7"/>
      <c r="K30" s="7"/>
      <c r="L30" s="7"/>
      <c r="M30" s="7"/>
      <c r="N30" s="7"/>
      <c r="O30" s="7"/>
    </row>
    <row r="31" spans="1:15" s="134" customFormat="1" ht="24.95" customHeight="1" x14ac:dyDescent="0.25">
      <c r="A31" s="516" t="s">
        <v>352</v>
      </c>
      <c r="B31" s="517"/>
      <c r="C31" s="264">
        <f>SUMIF('Quadro Geral'!B9:B41,"pe",'Quadro Geral'!J9:J41)</f>
        <v>0</v>
      </c>
      <c r="D31" s="264">
        <f>SUMIF('Quadro Geral'!B9:B41,"pe",'Quadro Geral'!K9:K41)</f>
        <v>0</v>
      </c>
      <c r="E31" s="264">
        <f>SUMIF('Quadro Geral'!B9:B41,"pe",'Quadro Geral'!L9:L41)</f>
        <v>0</v>
      </c>
      <c r="F31" s="264">
        <f t="shared" si="5"/>
        <v>0</v>
      </c>
      <c r="G31" s="49">
        <f t="shared" si="3"/>
        <v>0</v>
      </c>
      <c r="H31" s="50">
        <f>IFERROR(G31/C31*100,)</f>
        <v>0</v>
      </c>
      <c r="I31" s="50">
        <f t="shared" si="4"/>
        <v>0</v>
      </c>
      <c r="J31" s="7"/>
      <c r="K31" s="7"/>
      <c r="L31" s="7"/>
      <c r="M31" s="7"/>
      <c r="N31" s="7"/>
      <c r="O31" s="7"/>
    </row>
    <row r="32" spans="1:15" ht="24.95" customHeight="1" x14ac:dyDescent="0.25">
      <c r="A32" s="482" t="s">
        <v>80</v>
      </c>
      <c r="B32" s="482"/>
      <c r="C32" s="264">
        <f>SUMIF('Quadro Geral'!B9:B42,"a",'Quadro Geral'!J9:J42)-C33-C34-C35</f>
        <v>2891318.2399999998</v>
      </c>
      <c r="D32" s="264">
        <f>SUMIF('Quadro Geral'!B9:B42,"a",'Quadro Geral'!K9:K42)-D33-D34-D35</f>
        <v>846423.08000000019</v>
      </c>
      <c r="E32" s="264">
        <f>SUMIF('Quadro Geral'!B9:B42,"a",'Quadro Geral'!L9:L42)-E33-E34-E35</f>
        <v>1408737.94</v>
      </c>
      <c r="F32" s="264">
        <f t="shared" si="5"/>
        <v>2255161.02</v>
      </c>
      <c r="G32" s="49">
        <f>F32-C32</f>
        <v>-636157.21999999974</v>
      </c>
      <c r="H32" s="50">
        <f t="shared" si="1"/>
        <v>-22.002324448380328</v>
      </c>
      <c r="I32" s="50">
        <f>IFERROR(F32/$F$36*100,0)</f>
        <v>41.559906935086019</v>
      </c>
      <c r="J32" s="637"/>
      <c r="K32" s="224"/>
      <c r="L32" s="224"/>
      <c r="M32" s="224"/>
      <c r="N32" s="224"/>
      <c r="O32" s="224"/>
    </row>
    <row r="33" spans="1:15" ht="24.95" customHeight="1" x14ac:dyDescent="0.25">
      <c r="A33" s="482" t="s">
        <v>31</v>
      </c>
      <c r="B33" s="482"/>
      <c r="C33" s="261">
        <v>70882</v>
      </c>
      <c r="D33" s="261">
        <v>26580.82</v>
      </c>
      <c r="E33" s="261">
        <v>17720.55</v>
      </c>
      <c r="F33" s="261">
        <f t="shared" si="5"/>
        <v>44301.369999999995</v>
      </c>
      <c r="G33" s="49">
        <f t="shared" si="3"/>
        <v>-26580.630000000005</v>
      </c>
      <c r="H33" s="50">
        <f>IFERROR(G33/C33*100,)</f>
        <v>-37.499830704551236</v>
      </c>
      <c r="I33" s="50">
        <f t="shared" si="4"/>
        <v>0.81642099963966719</v>
      </c>
      <c r="J33" s="7"/>
      <c r="K33" s="7"/>
      <c r="L33" s="7"/>
      <c r="M33" s="7"/>
      <c r="N33" s="7"/>
      <c r="O33" s="7"/>
    </row>
    <row r="34" spans="1:15" ht="24.95" customHeight="1" x14ac:dyDescent="0.25">
      <c r="A34" s="482" t="s">
        <v>79</v>
      </c>
      <c r="B34" s="482"/>
      <c r="C34" s="261">
        <v>215172</v>
      </c>
      <c r="D34" s="261">
        <v>75310.240000000005</v>
      </c>
      <c r="E34" s="261">
        <v>21517.24</v>
      </c>
      <c r="F34" s="261">
        <f t="shared" si="5"/>
        <v>96827.48000000001</v>
      </c>
      <c r="G34" s="49">
        <f t="shared" si="3"/>
        <v>-118344.51999999999</v>
      </c>
      <c r="H34" s="50">
        <f t="shared" si="1"/>
        <v>-54.999962820441318</v>
      </c>
      <c r="I34" s="50">
        <f t="shared" si="4"/>
        <v>1.7844140714878547</v>
      </c>
      <c r="J34" s="7"/>
      <c r="K34" s="7"/>
      <c r="L34" s="7"/>
      <c r="M34" s="7"/>
      <c r="N34" s="7"/>
      <c r="O34" s="7"/>
    </row>
    <row r="35" spans="1:15" ht="24.95" customHeight="1" x14ac:dyDescent="0.25">
      <c r="A35" s="482" t="s">
        <v>36</v>
      </c>
      <c r="B35" s="482"/>
      <c r="C35" s="261">
        <v>10000</v>
      </c>
      <c r="D35" s="261">
        <v>0</v>
      </c>
      <c r="E35" s="261">
        <v>80000</v>
      </c>
      <c r="F35" s="261">
        <f t="shared" si="5"/>
        <v>80000</v>
      </c>
      <c r="G35" s="49">
        <f t="shared" si="3"/>
        <v>70000</v>
      </c>
      <c r="H35" s="50">
        <f t="shared" si="1"/>
        <v>700</v>
      </c>
      <c r="I35" s="50">
        <f t="shared" si="4"/>
        <v>1.4743038414201044</v>
      </c>
      <c r="J35" s="7"/>
      <c r="K35" s="7"/>
      <c r="L35" s="7"/>
      <c r="M35" s="7"/>
      <c r="N35" s="7"/>
      <c r="O35" s="7"/>
    </row>
    <row r="36" spans="1:15" ht="24.75" customHeight="1" x14ac:dyDescent="0.25">
      <c r="A36" s="491" t="s">
        <v>32</v>
      </c>
      <c r="B36" s="491"/>
      <c r="C36" s="256">
        <f>SUM(C29,C33:C35)</f>
        <v>6348372.2400000002</v>
      </c>
      <c r="D36" s="256">
        <f>SUM(D29,D33:D35)</f>
        <v>969819.05000000016</v>
      </c>
      <c r="E36" s="256">
        <f>SUM(E29,E33:E35)</f>
        <v>4456470.8199999994</v>
      </c>
      <c r="F36" s="256">
        <f>SUM(F29,F33:F35)</f>
        <v>5426289.8700000001</v>
      </c>
      <c r="G36" s="49">
        <f t="shared" si="3"/>
        <v>-922082.37000000011</v>
      </c>
      <c r="H36" s="50">
        <f t="shared" si="1"/>
        <v>-14.524705470011948</v>
      </c>
      <c r="I36" s="50">
        <f t="shared" si="4"/>
        <v>100</v>
      </c>
      <c r="J36" s="7"/>
      <c r="K36" s="7"/>
      <c r="L36" s="7"/>
      <c r="M36" s="7"/>
      <c r="N36" s="7"/>
      <c r="O36" s="7"/>
    </row>
    <row r="37" spans="1:15" ht="24.95" customHeight="1" x14ac:dyDescent="0.25">
      <c r="A37" s="482" t="s">
        <v>33</v>
      </c>
      <c r="B37" s="482"/>
      <c r="C37" s="265">
        <f>C27-C36</f>
        <v>0</v>
      </c>
      <c r="D37" s="265">
        <f>D27-D36</f>
        <v>833704.4499999996</v>
      </c>
      <c r="E37" s="265">
        <f>E27-E36</f>
        <v>-833704.44999999925</v>
      </c>
      <c r="F37" s="265">
        <f t="shared" ref="F37" si="6">F27-F36</f>
        <v>0</v>
      </c>
      <c r="G37" s="265">
        <f>G27-G36</f>
        <v>0</v>
      </c>
      <c r="H37" s="54"/>
      <c r="I37" s="54"/>
      <c r="J37" s="7"/>
      <c r="K37" s="7"/>
      <c r="L37" s="7"/>
      <c r="M37" s="7"/>
      <c r="N37" s="7"/>
      <c r="O37" s="7"/>
    </row>
    <row r="38" spans="1:15" ht="33" customHeight="1" x14ac:dyDescent="0.25">
      <c r="A38" s="507" t="s">
        <v>116</v>
      </c>
      <c r="B38" s="508"/>
      <c r="C38" s="508"/>
      <c r="D38" s="508"/>
      <c r="E38" s="508"/>
      <c r="F38" s="508"/>
      <c r="G38" s="508"/>
      <c r="H38" s="508"/>
      <c r="I38" s="509"/>
    </row>
    <row r="39" spans="1:15" ht="42" customHeight="1" x14ac:dyDescent="0.25">
      <c r="A39" s="189"/>
      <c r="B39" s="189"/>
      <c r="C39" s="266"/>
      <c r="D39" s="266"/>
      <c r="E39" s="266"/>
      <c r="F39" s="266"/>
      <c r="G39" s="189"/>
      <c r="H39" s="149"/>
      <c r="I39" s="149"/>
    </row>
    <row r="40" spans="1:15" ht="31.5" customHeight="1" x14ac:dyDescent="0.25">
      <c r="A40" s="480" t="s">
        <v>348</v>
      </c>
      <c r="B40" s="480"/>
      <c r="C40" s="480"/>
      <c r="D40" s="480"/>
      <c r="E40" s="480"/>
      <c r="F40" s="480"/>
      <c r="G40" s="480"/>
      <c r="H40" s="5"/>
      <c r="I40" s="5"/>
    </row>
    <row r="41" spans="1:15" ht="24.75" customHeight="1" x14ac:dyDescent="0.25">
      <c r="A41" s="75" t="s">
        <v>99</v>
      </c>
      <c r="B41" s="480" t="s">
        <v>102</v>
      </c>
      <c r="C41" s="480"/>
      <c r="D41" s="480"/>
      <c r="E41" s="480" t="s">
        <v>103</v>
      </c>
      <c r="F41" s="480"/>
      <c r="G41" s="480"/>
    </row>
    <row r="42" spans="1:15" ht="52.5" customHeight="1" x14ac:dyDescent="0.25">
      <c r="A42" s="75"/>
      <c r="B42" s="73" t="s">
        <v>343</v>
      </c>
      <c r="C42" s="267" t="s">
        <v>344</v>
      </c>
      <c r="D42" s="267" t="s">
        <v>104</v>
      </c>
      <c r="E42" s="267" t="s">
        <v>342</v>
      </c>
      <c r="F42" s="267" t="s">
        <v>341</v>
      </c>
      <c r="G42" s="144" t="s">
        <v>378</v>
      </c>
      <c r="H42" s="223" t="s">
        <v>703</v>
      </c>
      <c r="I42" s="223" t="s">
        <v>704</v>
      </c>
    </row>
    <row r="43" spans="1:15" ht="33.75" customHeight="1" x14ac:dyDescent="0.25">
      <c r="A43" s="51" t="s">
        <v>100</v>
      </c>
      <c r="B43" s="88">
        <f>C10</f>
        <v>3788372.24</v>
      </c>
      <c r="C43" s="268">
        <f>F10</f>
        <v>2866289.87</v>
      </c>
      <c r="D43" s="80">
        <f>(IFERROR(C43/B43*100-100,0))</f>
        <v>-24.339803788658315</v>
      </c>
      <c r="E43" s="265">
        <v>3788372.24</v>
      </c>
      <c r="F43" s="268">
        <f>'Anexo 3. Elemento de Despesas'!P44</f>
        <v>2866289.87</v>
      </c>
      <c r="G43" s="80">
        <f>(IFERROR(F43/E43*100-100,0))</f>
        <v>-24.339803788658315</v>
      </c>
      <c r="J43" s="241"/>
    </row>
    <row r="44" spans="1:15" ht="33.75" customHeight="1" x14ac:dyDescent="0.25">
      <c r="A44" s="51" t="s">
        <v>101</v>
      </c>
      <c r="B44" s="88">
        <f>C24</f>
        <v>2560000</v>
      </c>
      <c r="C44" s="268">
        <f>F24</f>
        <v>2560000</v>
      </c>
      <c r="D44" s="80">
        <f>(IFERROR(C44/B44*100-100,0))</f>
        <v>0</v>
      </c>
      <c r="E44" s="265">
        <v>2560000</v>
      </c>
      <c r="F44" s="268">
        <f>'Anexo 3. Elemento de Despesas'!Q44</f>
        <v>2560000</v>
      </c>
      <c r="G44" s="80">
        <f t="shared" ref="G44:G45" si="7">(IFERROR(F44/E44*100-100,0))</f>
        <v>0</v>
      </c>
      <c r="H44" s="134"/>
      <c r="I44" s="134"/>
      <c r="J44" s="241"/>
      <c r="K44" s="134"/>
    </row>
    <row r="45" spans="1:15" ht="27.75" customHeight="1" x14ac:dyDescent="0.25">
      <c r="A45" s="76" t="s">
        <v>0</v>
      </c>
      <c r="B45" s="77">
        <f>SUM(B43:B44)</f>
        <v>6348372.2400000002</v>
      </c>
      <c r="C45" s="269">
        <f>SUM(C43:C44)</f>
        <v>5426289.8700000001</v>
      </c>
      <c r="D45" s="80">
        <f>(IFERROR(C45/B45*100-100,0))</f>
        <v>-14.524705470011952</v>
      </c>
      <c r="E45" s="269">
        <f>SUM(E43:E44)</f>
        <v>6348372.2400000002</v>
      </c>
      <c r="F45" s="269">
        <f>SUM(F43:F44)</f>
        <v>5426289.8700000001</v>
      </c>
      <c r="G45" s="80">
        <f t="shared" si="7"/>
        <v>-14.524705470011952</v>
      </c>
    </row>
    <row r="46" spans="1:15" x14ac:dyDescent="0.25">
      <c r="A46" s="478"/>
      <c r="B46" s="479"/>
      <c r="C46" s="479"/>
      <c r="D46" s="479"/>
      <c r="E46" s="479"/>
      <c r="F46" s="479"/>
      <c r="G46" s="479"/>
      <c r="H46" s="479"/>
      <c r="I46" s="479"/>
    </row>
    <row r="47" spans="1:15" ht="33.75" customHeight="1" x14ac:dyDescent="0.25">
      <c r="A47" s="139" t="s">
        <v>17</v>
      </c>
      <c r="B47" s="139" t="s">
        <v>212</v>
      </c>
      <c r="C47" s="267" t="s">
        <v>213</v>
      </c>
      <c r="D47" s="267" t="s">
        <v>0</v>
      </c>
    </row>
    <row r="48" spans="1:15" ht="27.75" customHeight="1" x14ac:dyDescent="0.25">
      <c r="A48" s="75" t="s">
        <v>214</v>
      </c>
      <c r="B48" s="275">
        <f>F10</f>
        <v>2866289.87</v>
      </c>
      <c r="C48" s="270">
        <f>F24</f>
        <v>2560000</v>
      </c>
      <c r="D48" s="270">
        <f>SUM(B48:C48)</f>
        <v>5426289.8700000001</v>
      </c>
    </row>
    <row r="49" spans="1:15" ht="27.75" customHeight="1" x14ac:dyDescent="0.25">
      <c r="A49" s="75" t="s">
        <v>215</v>
      </c>
      <c r="B49" s="275">
        <f>'Anexo 3. Elemento de Despesas'!P44</f>
        <v>2866289.87</v>
      </c>
      <c r="C49" s="270">
        <f>'Anexo 3. Elemento de Despesas'!Q44</f>
        <v>2560000</v>
      </c>
      <c r="D49" s="270">
        <f>SUM(B49:C49)</f>
        <v>5426289.8700000001</v>
      </c>
    </row>
    <row r="50" spans="1:15" ht="23.25" x14ac:dyDescent="0.25">
      <c r="A50" s="143" t="s">
        <v>33</v>
      </c>
      <c r="B50" s="325">
        <f>B48-B49</f>
        <v>0</v>
      </c>
      <c r="C50" s="326">
        <f>C48-C49</f>
        <v>0</v>
      </c>
      <c r="D50" s="326">
        <f>D48-D49</f>
        <v>0</v>
      </c>
    </row>
    <row r="52" spans="1:15" ht="16.5" customHeight="1" x14ac:dyDescent="0.25">
      <c r="A52" s="174" t="s">
        <v>358</v>
      </c>
      <c r="B52" s="174" t="s">
        <v>68</v>
      </c>
      <c r="C52" s="271"/>
      <c r="D52" s="271"/>
    </row>
    <row r="53" spans="1:15" s="134" customFormat="1" ht="23.25" x14ac:dyDescent="0.25">
      <c r="A53" s="75" t="s">
        <v>359</v>
      </c>
      <c r="B53" s="120">
        <v>4896372.3500000006</v>
      </c>
      <c r="C53" s="272"/>
      <c r="D53" s="272"/>
      <c r="E53" s="252"/>
      <c r="F53" s="252"/>
    </row>
    <row r="54" spans="1:15" s="134" customFormat="1" ht="23.25" x14ac:dyDescent="0.25">
      <c r="A54" s="75" t="s">
        <v>360</v>
      </c>
      <c r="B54" s="120">
        <v>15148</v>
      </c>
      <c r="C54" s="272"/>
      <c r="D54" s="272"/>
      <c r="E54" s="252"/>
      <c r="F54" s="252"/>
    </row>
    <row r="55" spans="1:15" s="134" customFormat="1" ht="23.25" x14ac:dyDescent="0.25">
      <c r="A55" s="75" t="s">
        <v>361</v>
      </c>
      <c r="B55" s="120">
        <v>0</v>
      </c>
      <c r="C55" s="272"/>
      <c r="D55" s="272"/>
      <c r="E55" s="252"/>
      <c r="F55" s="252"/>
    </row>
    <row r="56" spans="1:15" s="134" customFormat="1" ht="23.25" x14ac:dyDescent="0.25">
      <c r="A56" s="75" t="s">
        <v>362</v>
      </c>
      <c r="B56" s="120">
        <v>4881224.3500000006</v>
      </c>
      <c r="C56" s="276"/>
      <c r="D56" s="272"/>
      <c r="E56" s="252"/>
      <c r="F56" s="252"/>
    </row>
    <row r="57" spans="1:15" s="134" customFormat="1" ht="30.75" customHeight="1" x14ac:dyDescent="0.25">
      <c r="A57" s="75" t="s">
        <v>363</v>
      </c>
      <c r="B57" s="120">
        <v>3416857.0450000004</v>
      </c>
      <c r="C57" s="272"/>
      <c r="D57" s="272"/>
      <c r="E57" s="252"/>
      <c r="F57" s="252"/>
    </row>
    <row r="58" spans="1:15" ht="25.5" customHeight="1" x14ac:dyDescent="0.25"/>
    <row r="59" spans="1:15" ht="15.75" thickBot="1" x14ac:dyDescent="0.3"/>
    <row r="60" spans="1:15" ht="19.5" thickBot="1" x14ac:dyDescent="0.3">
      <c r="A60" s="498" t="s">
        <v>89</v>
      </c>
      <c r="B60" s="499"/>
      <c r="C60" s="499"/>
      <c r="D60" s="499"/>
      <c r="E60" s="499"/>
      <c r="F60" s="499"/>
      <c r="G60" s="499"/>
      <c r="H60" s="499"/>
      <c r="I60" s="499"/>
      <c r="J60" s="499"/>
      <c r="K60" s="499"/>
      <c r="L60" s="499"/>
      <c r="M60" s="499"/>
      <c r="N60" s="499"/>
      <c r="O60" s="500"/>
    </row>
    <row r="61" spans="1:15" ht="15" customHeight="1" x14ac:dyDescent="0.25">
      <c r="A61" s="484" t="s">
        <v>708</v>
      </c>
      <c r="B61" s="485"/>
      <c r="C61" s="485"/>
      <c r="D61" s="485"/>
      <c r="E61" s="485"/>
      <c r="F61" s="485"/>
      <c r="G61" s="485"/>
      <c r="H61" s="485"/>
      <c r="I61" s="485"/>
      <c r="J61" s="643"/>
      <c r="K61" s="643"/>
      <c r="L61" s="643"/>
      <c r="M61" s="643"/>
      <c r="N61" s="643"/>
      <c r="O61" s="644"/>
    </row>
    <row r="62" spans="1:15" ht="15" customHeight="1" x14ac:dyDescent="0.25">
      <c r="A62" s="486"/>
      <c r="B62" s="487"/>
      <c r="C62" s="487"/>
      <c r="D62" s="487"/>
      <c r="E62" s="487"/>
      <c r="F62" s="487"/>
      <c r="G62" s="487"/>
      <c r="H62" s="487"/>
      <c r="I62" s="487"/>
      <c r="J62" s="645"/>
      <c r="K62" s="645"/>
      <c r="L62" s="645"/>
      <c r="M62" s="645"/>
      <c r="N62" s="645"/>
      <c r="O62" s="646"/>
    </row>
    <row r="63" spans="1:15" ht="15" customHeight="1" x14ac:dyDescent="0.25">
      <c r="A63" s="486"/>
      <c r="B63" s="487"/>
      <c r="C63" s="487"/>
      <c r="D63" s="487"/>
      <c r="E63" s="487"/>
      <c r="F63" s="487"/>
      <c r="G63" s="487"/>
      <c r="H63" s="487"/>
      <c r="I63" s="487"/>
      <c r="J63" s="645"/>
      <c r="K63" s="645"/>
      <c r="L63" s="645"/>
      <c r="M63" s="645"/>
      <c r="N63" s="645"/>
      <c r="O63" s="646"/>
    </row>
    <row r="64" spans="1:15" ht="15" customHeight="1" x14ac:dyDescent="0.25">
      <c r="A64" s="486"/>
      <c r="B64" s="487"/>
      <c r="C64" s="487"/>
      <c r="D64" s="487"/>
      <c r="E64" s="487"/>
      <c r="F64" s="487"/>
      <c r="G64" s="487"/>
      <c r="H64" s="487"/>
      <c r="I64" s="487"/>
      <c r="J64" s="645"/>
      <c r="K64" s="645"/>
      <c r="L64" s="645"/>
      <c r="M64" s="645"/>
      <c r="N64" s="645"/>
      <c r="O64" s="646"/>
    </row>
    <row r="65" spans="1:15" ht="15" customHeight="1" x14ac:dyDescent="0.25">
      <c r="A65" s="486"/>
      <c r="B65" s="487"/>
      <c r="C65" s="487"/>
      <c r="D65" s="487"/>
      <c r="E65" s="487"/>
      <c r="F65" s="487"/>
      <c r="G65" s="487"/>
      <c r="H65" s="487"/>
      <c r="I65" s="487"/>
      <c r="J65" s="645"/>
      <c r="K65" s="645"/>
      <c r="L65" s="645"/>
      <c r="M65" s="645"/>
      <c r="N65" s="645"/>
      <c r="O65" s="646"/>
    </row>
    <row r="66" spans="1:15" ht="15" customHeight="1" x14ac:dyDescent="0.25">
      <c r="A66" s="486"/>
      <c r="B66" s="487"/>
      <c r="C66" s="487"/>
      <c r="D66" s="487"/>
      <c r="E66" s="487"/>
      <c r="F66" s="487"/>
      <c r="G66" s="487"/>
      <c r="H66" s="487"/>
      <c r="I66" s="487"/>
      <c r="J66" s="645"/>
      <c r="K66" s="645"/>
      <c r="L66" s="645"/>
      <c r="M66" s="645"/>
      <c r="N66" s="645"/>
      <c r="O66" s="646"/>
    </row>
    <row r="67" spans="1:15" ht="15.75" customHeight="1" thickBot="1" x14ac:dyDescent="0.3">
      <c r="A67" s="488"/>
      <c r="B67" s="489"/>
      <c r="C67" s="489"/>
      <c r="D67" s="489"/>
      <c r="E67" s="489"/>
      <c r="F67" s="489"/>
      <c r="G67" s="489"/>
      <c r="H67" s="489"/>
      <c r="I67" s="489"/>
      <c r="J67" s="647"/>
      <c r="K67" s="647"/>
      <c r="L67" s="647"/>
      <c r="M67" s="647"/>
      <c r="N67" s="647"/>
      <c r="O67" s="648"/>
    </row>
  </sheetData>
  <mergeCells count="50">
    <mergeCell ref="A32:B32"/>
    <mergeCell ref="A31:B31"/>
    <mergeCell ref="A29:B29"/>
    <mergeCell ref="A61:I67"/>
    <mergeCell ref="A60:O60"/>
    <mergeCell ref="A5:I5"/>
    <mergeCell ref="A6:I6"/>
    <mergeCell ref="A38:I38"/>
    <mergeCell ref="G7:H7"/>
    <mergeCell ref="A7:B8"/>
    <mergeCell ref="A9:B9"/>
    <mergeCell ref="A26:B26"/>
    <mergeCell ref="A27:B27"/>
    <mergeCell ref="A28:B28"/>
    <mergeCell ref="A18:B18"/>
    <mergeCell ref="A19:B19"/>
    <mergeCell ref="A34:B34"/>
    <mergeCell ref="A25:B25"/>
    <mergeCell ref="A30:B30"/>
    <mergeCell ref="A4:I4"/>
    <mergeCell ref="A35:B35"/>
    <mergeCell ref="A36:B36"/>
    <mergeCell ref="A37:B37"/>
    <mergeCell ref="A10:B10"/>
    <mergeCell ref="A11:B11"/>
    <mergeCell ref="A20:B20"/>
    <mergeCell ref="A21:B21"/>
    <mergeCell ref="A22:B22"/>
    <mergeCell ref="A23:B23"/>
    <mergeCell ref="A24:B24"/>
    <mergeCell ref="D7:F7"/>
    <mergeCell ref="I7:I8"/>
    <mergeCell ref="A33:B33"/>
    <mergeCell ref="C7:C8"/>
    <mergeCell ref="S12:S13"/>
    <mergeCell ref="N12:N13"/>
    <mergeCell ref="O12:O13"/>
    <mergeCell ref="P12:P13"/>
    <mergeCell ref="A46:I46"/>
    <mergeCell ref="B41:D41"/>
    <mergeCell ref="Q12:Q13"/>
    <mergeCell ref="R12:R13"/>
    <mergeCell ref="A12:B12"/>
    <mergeCell ref="A13:B13"/>
    <mergeCell ref="A14:B14"/>
    <mergeCell ref="A15:B15"/>
    <mergeCell ref="A16:B16"/>
    <mergeCell ref="A17:B17"/>
    <mergeCell ref="E41:G41"/>
    <mergeCell ref="A40:G40"/>
  </mergeCells>
  <phoneticPr fontId="95" type="noConversion"/>
  <pageMargins left="0.23622047244094491" right="0.23622047244094491" top="0.74803149606299213" bottom="0.74803149606299213" header="0.31496062992125984" footer="0.31496062992125984"/>
  <pageSetup paperSize="9" scale="40" orientation="portrait"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6"/>
  <dimension ref="A2:AE33"/>
  <sheetViews>
    <sheetView view="pageBreakPreview" zoomScale="60" zoomScaleNormal="66" workbookViewId="0">
      <selection activeCell="I21" sqref="I21"/>
    </sheetView>
  </sheetViews>
  <sheetFormatPr defaultRowHeight="15" x14ac:dyDescent="0.25"/>
  <cols>
    <col min="1" max="1" width="9.140625" style="7"/>
    <col min="2" max="2" width="35.5703125" style="7" customWidth="1"/>
    <col min="3" max="3" width="35.7109375" style="7" customWidth="1"/>
    <col min="4" max="4" width="17.7109375" style="7" bestFit="1" customWidth="1"/>
    <col min="5" max="5" width="20" style="7" bestFit="1" customWidth="1"/>
    <col min="6" max="6" width="11.5703125" style="7" bestFit="1" customWidth="1"/>
    <col min="7" max="7" width="16.42578125" style="7" hidden="1" customWidth="1"/>
    <col min="8" max="8" width="18.5703125" style="7" bestFit="1" customWidth="1"/>
    <col min="9" max="9" width="16.42578125" style="7" bestFit="1" customWidth="1"/>
    <col min="10" max="10" width="10.7109375" style="7" customWidth="1"/>
    <col min="11" max="11" width="70.140625" style="7" customWidth="1"/>
    <col min="12" max="12" width="34.140625" style="7" customWidth="1"/>
    <col min="13" max="14" width="20.7109375" style="7" customWidth="1"/>
    <col min="15" max="15" width="11.5703125" style="7" bestFit="1" customWidth="1"/>
    <col min="16" max="16" width="18.140625" style="7" bestFit="1" customWidth="1"/>
    <col min="17" max="17" width="13" style="7" customWidth="1"/>
    <col min="18" max="18" width="18.140625" style="7" bestFit="1" customWidth="1"/>
    <col min="19" max="259" width="9.140625" style="7"/>
    <col min="260" max="260" width="35.5703125" style="7" customWidth="1"/>
    <col min="261" max="261" width="23" style="7" customWidth="1"/>
    <col min="262" max="262" width="17.7109375" style="7" customWidth="1"/>
    <col min="263" max="263" width="18.42578125" style="7" customWidth="1"/>
    <col min="264" max="265" width="13.140625" style="7" customWidth="1"/>
    <col min="266" max="266" width="10.7109375" style="7" customWidth="1"/>
    <col min="267" max="267" width="40.85546875" style="7" customWidth="1"/>
    <col min="268" max="268" width="34.140625" style="7" customWidth="1"/>
    <col min="269" max="269" width="16" style="7" customWidth="1"/>
    <col min="270" max="270" width="15.7109375" style="7" customWidth="1"/>
    <col min="271" max="271" width="17.42578125" style="7" customWidth="1"/>
    <col min="272" max="272" width="10.7109375" style="7" customWidth="1"/>
    <col min="273" max="273" width="13" style="7" customWidth="1"/>
    <col min="274" max="274" width="16.7109375" style="7" customWidth="1"/>
    <col min="275" max="515" width="9.140625" style="7"/>
    <col min="516" max="516" width="35.5703125" style="7" customWidth="1"/>
    <col min="517" max="517" width="23" style="7" customWidth="1"/>
    <col min="518" max="518" width="17.7109375" style="7" customWidth="1"/>
    <col min="519" max="519" width="18.42578125" style="7" customWidth="1"/>
    <col min="520" max="521" width="13.140625" style="7" customWidth="1"/>
    <col min="522" max="522" width="10.7109375" style="7" customWidth="1"/>
    <col min="523" max="523" width="40.85546875" style="7" customWidth="1"/>
    <col min="524" max="524" width="34.140625" style="7" customWidth="1"/>
    <col min="525" max="525" width="16" style="7" customWidth="1"/>
    <col min="526" max="526" width="15.7109375" style="7" customWidth="1"/>
    <col min="527" max="527" width="17.42578125" style="7" customWidth="1"/>
    <col min="528" max="528" width="10.7109375" style="7" customWidth="1"/>
    <col min="529" max="529" width="13" style="7" customWidth="1"/>
    <col min="530" max="530" width="16.7109375" style="7" customWidth="1"/>
    <col min="531" max="771" width="9.140625" style="7"/>
    <col min="772" max="772" width="35.5703125" style="7" customWidth="1"/>
    <col min="773" max="773" width="23" style="7" customWidth="1"/>
    <col min="774" max="774" width="17.7109375" style="7" customWidth="1"/>
    <col min="775" max="775" width="18.42578125" style="7" customWidth="1"/>
    <col min="776" max="777" width="13.140625" style="7" customWidth="1"/>
    <col min="778" max="778" width="10.7109375" style="7" customWidth="1"/>
    <col min="779" max="779" width="40.85546875" style="7" customWidth="1"/>
    <col min="780" max="780" width="34.140625" style="7" customWidth="1"/>
    <col min="781" max="781" width="16" style="7" customWidth="1"/>
    <col min="782" max="782" width="15.7109375" style="7" customWidth="1"/>
    <col min="783" max="783" width="17.42578125" style="7" customWidth="1"/>
    <col min="784" max="784" width="10.7109375" style="7" customWidth="1"/>
    <col min="785" max="785" width="13" style="7" customWidth="1"/>
    <col min="786" max="786" width="16.7109375" style="7" customWidth="1"/>
    <col min="787" max="1027" width="9.140625" style="7"/>
    <col min="1028" max="1028" width="35.5703125" style="7" customWidth="1"/>
    <col min="1029" max="1029" width="23" style="7" customWidth="1"/>
    <col min="1030" max="1030" width="17.7109375" style="7" customWidth="1"/>
    <col min="1031" max="1031" width="18.42578125" style="7" customWidth="1"/>
    <col min="1032" max="1033" width="13.140625" style="7" customWidth="1"/>
    <col min="1034" max="1034" width="10.7109375" style="7" customWidth="1"/>
    <col min="1035" max="1035" width="40.85546875" style="7" customWidth="1"/>
    <col min="1036" max="1036" width="34.140625" style="7" customWidth="1"/>
    <col min="1037" max="1037" width="16" style="7" customWidth="1"/>
    <col min="1038" max="1038" width="15.7109375" style="7" customWidth="1"/>
    <col min="1039" max="1039" width="17.42578125" style="7" customWidth="1"/>
    <col min="1040" max="1040" width="10.7109375" style="7" customWidth="1"/>
    <col min="1041" max="1041" width="13" style="7" customWidth="1"/>
    <col min="1042" max="1042" width="16.7109375" style="7" customWidth="1"/>
    <col min="1043" max="1283" width="9.140625" style="7"/>
    <col min="1284" max="1284" width="35.5703125" style="7" customWidth="1"/>
    <col min="1285" max="1285" width="23" style="7" customWidth="1"/>
    <col min="1286" max="1286" width="17.7109375" style="7" customWidth="1"/>
    <col min="1287" max="1287" width="18.42578125" style="7" customWidth="1"/>
    <col min="1288" max="1289" width="13.140625" style="7" customWidth="1"/>
    <col min="1290" max="1290" width="10.7109375" style="7" customWidth="1"/>
    <col min="1291" max="1291" width="40.85546875" style="7" customWidth="1"/>
    <col min="1292" max="1292" width="34.140625" style="7" customWidth="1"/>
    <col min="1293" max="1293" width="16" style="7" customWidth="1"/>
    <col min="1294" max="1294" width="15.7109375" style="7" customWidth="1"/>
    <col min="1295" max="1295" width="17.42578125" style="7" customWidth="1"/>
    <col min="1296" max="1296" width="10.7109375" style="7" customWidth="1"/>
    <col min="1297" max="1297" width="13" style="7" customWidth="1"/>
    <col min="1298" max="1298" width="16.7109375" style="7" customWidth="1"/>
    <col min="1299" max="1539" width="9.140625" style="7"/>
    <col min="1540" max="1540" width="35.5703125" style="7" customWidth="1"/>
    <col min="1541" max="1541" width="23" style="7" customWidth="1"/>
    <col min="1542" max="1542" width="17.7109375" style="7" customWidth="1"/>
    <col min="1543" max="1543" width="18.42578125" style="7" customWidth="1"/>
    <col min="1544" max="1545" width="13.140625" style="7" customWidth="1"/>
    <col min="1546" max="1546" width="10.7109375" style="7" customWidth="1"/>
    <col min="1547" max="1547" width="40.85546875" style="7" customWidth="1"/>
    <col min="1548" max="1548" width="34.140625" style="7" customWidth="1"/>
    <col min="1549" max="1549" width="16" style="7" customWidth="1"/>
    <col min="1550" max="1550" width="15.7109375" style="7" customWidth="1"/>
    <col min="1551" max="1551" width="17.42578125" style="7" customWidth="1"/>
    <col min="1552" max="1552" width="10.7109375" style="7" customWidth="1"/>
    <col min="1553" max="1553" width="13" style="7" customWidth="1"/>
    <col min="1554" max="1554" width="16.7109375" style="7" customWidth="1"/>
    <col min="1555" max="1795" width="9.140625" style="7"/>
    <col min="1796" max="1796" width="35.5703125" style="7" customWidth="1"/>
    <col min="1797" max="1797" width="23" style="7" customWidth="1"/>
    <col min="1798" max="1798" width="17.7109375" style="7" customWidth="1"/>
    <col min="1799" max="1799" width="18.42578125" style="7" customWidth="1"/>
    <col min="1800" max="1801" width="13.140625" style="7" customWidth="1"/>
    <col min="1802" max="1802" width="10.7109375" style="7" customWidth="1"/>
    <col min="1803" max="1803" width="40.85546875" style="7" customWidth="1"/>
    <col min="1804" max="1804" width="34.140625" style="7" customWidth="1"/>
    <col min="1805" max="1805" width="16" style="7" customWidth="1"/>
    <col min="1806" max="1806" width="15.7109375" style="7" customWidth="1"/>
    <col min="1807" max="1807" width="17.42578125" style="7" customWidth="1"/>
    <col min="1808" max="1808" width="10.7109375" style="7" customWidth="1"/>
    <col min="1809" max="1809" width="13" style="7" customWidth="1"/>
    <col min="1810" max="1810" width="16.7109375" style="7" customWidth="1"/>
    <col min="1811" max="2051" width="9.140625" style="7"/>
    <col min="2052" max="2052" width="35.5703125" style="7" customWidth="1"/>
    <col min="2053" max="2053" width="23" style="7" customWidth="1"/>
    <col min="2054" max="2054" width="17.7109375" style="7" customWidth="1"/>
    <col min="2055" max="2055" width="18.42578125" style="7" customWidth="1"/>
    <col min="2056" max="2057" width="13.140625" style="7" customWidth="1"/>
    <col min="2058" max="2058" width="10.7109375" style="7" customWidth="1"/>
    <col min="2059" max="2059" width="40.85546875" style="7" customWidth="1"/>
    <col min="2060" max="2060" width="34.140625" style="7" customWidth="1"/>
    <col min="2061" max="2061" width="16" style="7" customWidth="1"/>
    <col min="2062" max="2062" width="15.7109375" style="7" customWidth="1"/>
    <col min="2063" max="2063" width="17.42578125" style="7" customWidth="1"/>
    <col min="2064" max="2064" width="10.7109375" style="7" customWidth="1"/>
    <col min="2065" max="2065" width="13" style="7" customWidth="1"/>
    <col min="2066" max="2066" width="16.7109375" style="7" customWidth="1"/>
    <col min="2067" max="2307" width="9.140625" style="7"/>
    <col min="2308" max="2308" width="35.5703125" style="7" customWidth="1"/>
    <col min="2309" max="2309" width="23" style="7" customWidth="1"/>
    <col min="2310" max="2310" width="17.7109375" style="7" customWidth="1"/>
    <col min="2311" max="2311" width="18.42578125" style="7" customWidth="1"/>
    <col min="2312" max="2313" width="13.140625" style="7" customWidth="1"/>
    <col min="2314" max="2314" width="10.7109375" style="7" customWidth="1"/>
    <col min="2315" max="2315" width="40.85546875" style="7" customWidth="1"/>
    <col min="2316" max="2316" width="34.140625" style="7" customWidth="1"/>
    <col min="2317" max="2317" width="16" style="7" customWidth="1"/>
    <col min="2318" max="2318" width="15.7109375" style="7" customWidth="1"/>
    <col min="2319" max="2319" width="17.42578125" style="7" customWidth="1"/>
    <col min="2320" max="2320" width="10.7109375" style="7" customWidth="1"/>
    <col min="2321" max="2321" width="13" style="7" customWidth="1"/>
    <col min="2322" max="2322" width="16.7109375" style="7" customWidth="1"/>
    <col min="2323" max="2563" width="9.140625" style="7"/>
    <col min="2564" max="2564" width="35.5703125" style="7" customWidth="1"/>
    <col min="2565" max="2565" width="23" style="7" customWidth="1"/>
    <col min="2566" max="2566" width="17.7109375" style="7" customWidth="1"/>
    <col min="2567" max="2567" width="18.42578125" style="7" customWidth="1"/>
    <col min="2568" max="2569" width="13.140625" style="7" customWidth="1"/>
    <col min="2570" max="2570" width="10.7109375" style="7" customWidth="1"/>
    <col min="2571" max="2571" width="40.85546875" style="7" customWidth="1"/>
    <col min="2572" max="2572" width="34.140625" style="7" customWidth="1"/>
    <col min="2573" max="2573" width="16" style="7" customWidth="1"/>
    <col min="2574" max="2574" width="15.7109375" style="7" customWidth="1"/>
    <col min="2575" max="2575" width="17.42578125" style="7" customWidth="1"/>
    <col min="2576" max="2576" width="10.7109375" style="7" customWidth="1"/>
    <col min="2577" max="2577" width="13" style="7" customWidth="1"/>
    <col min="2578" max="2578" width="16.7109375" style="7" customWidth="1"/>
    <col min="2579" max="2819" width="9.140625" style="7"/>
    <col min="2820" max="2820" width="35.5703125" style="7" customWidth="1"/>
    <col min="2821" max="2821" width="23" style="7" customWidth="1"/>
    <col min="2822" max="2822" width="17.7109375" style="7" customWidth="1"/>
    <col min="2823" max="2823" width="18.42578125" style="7" customWidth="1"/>
    <col min="2824" max="2825" width="13.140625" style="7" customWidth="1"/>
    <col min="2826" max="2826" width="10.7109375" style="7" customWidth="1"/>
    <col min="2827" max="2827" width="40.85546875" style="7" customWidth="1"/>
    <col min="2828" max="2828" width="34.140625" style="7" customWidth="1"/>
    <col min="2829" max="2829" width="16" style="7" customWidth="1"/>
    <col min="2830" max="2830" width="15.7109375" style="7" customWidth="1"/>
    <col min="2831" max="2831" width="17.42578125" style="7" customWidth="1"/>
    <col min="2832" max="2832" width="10.7109375" style="7" customWidth="1"/>
    <col min="2833" max="2833" width="13" style="7" customWidth="1"/>
    <col min="2834" max="2834" width="16.7109375" style="7" customWidth="1"/>
    <col min="2835" max="3075" width="9.140625" style="7"/>
    <col min="3076" max="3076" width="35.5703125" style="7" customWidth="1"/>
    <col min="3077" max="3077" width="23" style="7" customWidth="1"/>
    <col min="3078" max="3078" width="17.7109375" style="7" customWidth="1"/>
    <col min="3079" max="3079" width="18.42578125" style="7" customWidth="1"/>
    <col min="3080" max="3081" width="13.140625" style="7" customWidth="1"/>
    <col min="3082" max="3082" width="10.7109375" style="7" customWidth="1"/>
    <col min="3083" max="3083" width="40.85546875" style="7" customWidth="1"/>
    <col min="3084" max="3084" width="34.140625" style="7" customWidth="1"/>
    <col min="3085" max="3085" width="16" style="7" customWidth="1"/>
    <col min="3086" max="3086" width="15.7109375" style="7" customWidth="1"/>
    <col min="3087" max="3087" width="17.42578125" style="7" customWidth="1"/>
    <col min="3088" max="3088" width="10.7109375" style="7" customWidth="1"/>
    <col min="3089" max="3089" width="13" style="7" customWidth="1"/>
    <col min="3090" max="3090" width="16.7109375" style="7" customWidth="1"/>
    <col min="3091" max="3331" width="9.140625" style="7"/>
    <col min="3332" max="3332" width="35.5703125" style="7" customWidth="1"/>
    <col min="3333" max="3333" width="23" style="7" customWidth="1"/>
    <col min="3334" max="3334" width="17.7109375" style="7" customWidth="1"/>
    <col min="3335" max="3335" width="18.42578125" style="7" customWidth="1"/>
    <col min="3336" max="3337" width="13.140625" style="7" customWidth="1"/>
    <col min="3338" max="3338" width="10.7109375" style="7" customWidth="1"/>
    <col min="3339" max="3339" width="40.85546875" style="7" customWidth="1"/>
    <col min="3340" max="3340" width="34.140625" style="7" customWidth="1"/>
    <col min="3341" max="3341" width="16" style="7" customWidth="1"/>
    <col min="3342" max="3342" width="15.7109375" style="7" customWidth="1"/>
    <col min="3343" max="3343" width="17.42578125" style="7" customWidth="1"/>
    <col min="3344" max="3344" width="10.7109375" style="7" customWidth="1"/>
    <col min="3345" max="3345" width="13" style="7" customWidth="1"/>
    <col min="3346" max="3346" width="16.7109375" style="7" customWidth="1"/>
    <col min="3347" max="3587" width="9.140625" style="7"/>
    <col min="3588" max="3588" width="35.5703125" style="7" customWidth="1"/>
    <col min="3589" max="3589" width="23" style="7" customWidth="1"/>
    <col min="3590" max="3590" width="17.7109375" style="7" customWidth="1"/>
    <col min="3591" max="3591" width="18.42578125" style="7" customWidth="1"/>
    <col min="3592" max="3593" width="13.140625" style="7" customWidth="1"/>
    <col min="3594" max="3594" width="10.7109375" style="7" customWidth="1"/>
    <col min="3595" max="3595" width="40.85546875" style="7" customWidth="1"/>
    <col min="3596" max="3596" width="34.140625" style="7" customWidth="1"/>
    <col min="3597" max="3597" width="16" style="7" customWidth="1"/>
    <col min="3598" max="3598" width="15.7109375" style="7" customWidth="1"/>
    <col min="3599" max="3599" width="17.42578125" style="7" customWidth="1"/>
    <col min="3600" max="3600" width="10.7109375" style="7" customWidth="1"/>
    <col min="3601" max="3601" width="13" style="7" customWidth="1"/>
    <col min="3602" max="3602" width="16.7109375" style="7" customWidth="1"/>
    <col min="3603" max="3843" width="9.140625" style="7"/>
    <col min="3844" max="3844" width="35.5703125" style="7" customWidth="1"/>
    <col min="3845" max="3845" width="23" style="7" customWidth="1"/>
    <col min="3846" max="3846" width="17.7109375" style="7" customWidth="1"/>
    <col min="3847" max="3847" width="18.42578125" style="7" customWidth="1"/>
    <col min="3848" max="3849" width="13.140625" style="7" customWidth="1"/>
    <col min="3850" max="3850" width="10.7109375" style="7" customWidth="1"/>
    <col min="3851" max="3851" width="40.85546875" style="7" customWidth="1"/>
    <col min="3852" max="3852" width="34.140625" style="7" customWidth="1"/>
    <col min="3853" max="3853" width="16" style="7" customWidth="1"/>
    <col min="3854" max="3854" width="15.7109375" style="7" customWidth="1"/>
    <col min="3855" max="3855" width="17.42578125" style="7" customWidth="1"/>
    <col min="3856" max="3856" width="10.7109375" style="7" customWidth="1"/>
    <col min="3857" max="3857" width="13" style="7" customWidth="1"/>
    <col min="3858" max="3858" width="16.7109375" style="7" customWidth="1"/>
    <col min="3859" max="4099" width="9.140625" style="7"/>
    <col min="4100" max="4100" width="35.5703125" style="7" customWidth="1"/>
    <col min="4101" max="4101" width="23" style="7" customWidth="1"/>
    <col min="4102" max="4102" width="17.7109375" style="7" customWidth="1"/>
    <col min="4103" max="4103" width="18.42578125" style="7" customWidth="1"/>
    <col min="4104" max="4105" width="13.140625" style="7" customWidth="1"/>
    <col min="4106" max="4106" width="10.7109375" style="7" customWidth="1"/>
    <col min="4107" max="4107" width="40.85546875" style="7" customWidth="1"/>
    <col min="4108" max="4108" width="34.140625" style="7" customWidth="1"/>
    <col min="4109" max="4109" width="16" style="7" customWidth="1"/>
    <col min="4110" max="4110" width="15.7109375" style="7" customWidth="1"/>
    <col min="4111" max="4111" width="17.42578125" style="7" customWidth="1"/>
    <col min="4112" max="4112" width="10.7109375" style="7" customWidth="1"/>
    <col min="4113" max="4113" width="13" style="7" customWidth="1"/>
    <col min="4114" max="4114" width="16.7109375" style="7" customWidth="1"/>
    <col min="4115" max="4355" width="9.140625" style="7"/>
    <col min="4356" max="4356" width="35.5703125" style="7" customWidth="1"/>
    <col min="4357" max="4357" width="23" style="7" customWidth="1"/>
    <col min="4358" max="4358" width="17.7109375" style="7" customWidth="1"/>
    <col min="4359" max="4359" width="18.42578125" style="7" customWidth="1"/>
    <col min="4360" max="4361" width="13.140625" style="7" customWidth="1"/>
    <col min="4362" max="4362" width="10.7109375" style="7" customWidth="1"/>
    <col min="4363" max="4363" width="40.85546875" style="7" customWidth="1"/>
    <col min="4364" max="4364" width="34.140625" style="7" customWidth="1"/>
    <col min="4365" max="4365" width="16" style="7" customWidth="1"/>
    <col min="4366" max="4366" width="15.7109375" style="7" customWidth="1"/>
    <col min="4367" max="4367" width="17.42578125" style="7" customWidth="1"/>
    <col min="4368" max="4368" width="10.7109375" style="7" customWidth="1"/>
    <col min="4369" max="4369" width="13" style="7" customWidth="1"/>
    <col min="4370" max="4370" width="16.7109375" style="7" customWidth="1"/>
    <col min="4371" max="4611" width="9.140625" style="7"/>
    <col min="4612" max="4612" width="35.5703125" style="7" customWidth="1"/>
    <col min="4613" max="4613" width="23" style="7" customWidth="1"/>
    <col min="4614" max="4614" width="17.7109375" style="7" customWidth="1"/>
    <col min="4615" max="4615" width="18.42578125" style="7" customWidth="1"/>
    <col min="4616" max="4617" width="13.140625" style="7" customWidth="1"/>
    <col min="4618" max="4618" width="10.7109375" style="7" customWidth="1"/>
    <col min="4619" max="4619" width="40.85546875" style="7" customWidth="1"/>
    <col min="4620" max="4620" width="34.140625" style="7" customWidth="1"/>
    <col min="4621" max="4621" width="16" style="7" customWidth="1"/>
    <col min="4622" max="4622" width="15.7109375" style="7" customWidth="1"/>
    <col min="4623" max="4623" width="17.42578125" style="7" customWidth="1"/>
    <col min="4624" max="4624" width="10.7109375" style="7" customWidth="1"/>
    <col min="4625" max="4625" width="13" style="7" customWidth="1"/>
    <col min="4626" max="4626" width="16.7109375" style="7" customWidth="1"/>
    <col min="4627" max="4867" width="9.140625" style="7"/>
    <col min="4868" max="4868" width="35.5703125" style="7" customWidth="1"/>
    <col min="4869" max="4869" width="23" style="7" customWidth="1"/>
    <col min="4870" max="4870" width="17.7109375" style="7" customWidth="1"/>
    <col min="4871" max="4871" width="18.42578125" style="7" customWidth="1"/>
    <col min="4872" max="4873" width="13.140625" style="7" customWidth="1"/>
    <col min="4874" max="4874" width="10.7109375" style="7" customWidth="1"/>
    <col min="4875" max="4875" width="40.85546875" style="7" customWidth="1"/>
    <col min="4876" max="4876" width="34.140625" style="7" customWidth="1"/>
    <col min="4877" max="4877" width="16" style="7" customWidth="1"/>
    <col min="4878" max="4878" width="15.7109375" style="7" customWidth="1"/>
    <col min="4879" max="4879" width="17.42578125" style="7" customWidth="1"/>
    <col min="4880" max="4880" width="10.7109375" style="7" customWidth="1"/>
    <col min="4881" max="4881" width="13" style="7" customWidth="1"/>
    <col min="4882" max="4882" width="16.7109375" style="7" customWidth="1"/>
    <col min="4883" max="5123" width="9.140625" style="7"/>
    <col min="5124" max="5124" width="35.5703125" style="7" customWidth="1"/>
    <col min="5125" max="5125" width="23" style="7" customWidth="1"/>
    <col min="5126" max="5126" width="17.7109375" style="7" customWidth="1"/>
    <col min="5127" max="5127" width="18.42578125" style="7" customWidth="1"/>
    <col min="5128" max="5129" width="13.140625" style="7" customWidth="1"/>
    <col min="5130" max="5130" width="10.7109375" style="7" customWidth="1"/>
    <col min="5131" max="5131" width="40.85546875" style="7" customWidth="1"/>
    <col min="5132" max="5132" width="34.140625" style="7" customWidth="1"/>
    <col min="5133" max="5133" width="16" style="7" customWidth="1"/>
    <col min="5134" max="5134" width="15.7109375" style="7" customWidth="1"/>
    <col min="5135" max="5135" width="17.42578125" style="7" customWidth="1"/>
    <col min="5136" max="5136" width="10.7109375" style="7" customWidth="1"/>
    <col min="5137" max="5137" width="13" style="7" customWidth="1"/>
    <col min="5138" max="5138" width="16.7109375" style="7" customWidth="1"/>
    <col min="5139" max="5379" width="9.140625" style="7"/>
    <col min="5380" max="5380" width="35.5703125" style="7" customWidth="1"/>
    <col min="5381" max="5381" width="23" style="7" customWidth="1"/>
    <col min="5382" max="5382" width="17.7109375" style="7" customWidth="1"/>
    <col min="5383" max="5383" width="18.42578125" style="7" customWidth="1"/>
    <col min="5384" max="5385" width="13.140625" style="7" customWidth="1"/>
    <col min="5386" max="5386" width="10.7109375" style="7" customWidth="1"/>
    <col min="5387" max="5387" width="40.85546875" style="7" customWidth="1"/>
    <col min="5388" max="5388" width="34.140625" style="7" customWidth="1"/>
    <col min="5389" max="5389" width="16" style="7" customWidth="1"/>
    <col min="5390" max="5390" width="15.7109375" style="7" customWidth="1"/>
    <col min="5391" max="5391" width="17.42578125" style="7" customWidth="1"/>
    <col min="5392" max="5392" width="10.7109375" style="7" customWidth="1"/>
    <col min="5393" max="5393" width="13" style="7" customWidth="1"/>
    <col min="5394" max="5394" width="16.7109375" style="7" customWidth="1"/>
    <col min="5395" max="5635" width="9.140625" style="7"/>
    <col min="5636" max="5636" width="35.5703125" style="7" customWidth="1"/>
    <col min="5637" max="5637" width="23" style="7" customWidth="1"/>
    <col min="5638" max="5638" width="17.7109375" style="7" customWidth="1"/>
    <col min="5639" max="5639" width="18.42578125" style="7" customWidth="1"/>
    <col min="5640" max="5641" width="13.140625" style="7" customWidth="1"/>
    <col min="5642" max="5642" width="10.7109375" style="7" customWidth="1"/>
    <col min="5643" max="5643" width="40.85546875" style="7" customWidth="1"/>
    <col min="5644" max="5644" width="34.140625" style="7" customWidth="1"/>
    <col min="5645" max="5645" width="16" style="7" customWidth="1"/>
    <col min="5646" max="5646" width="15.7109375" style="7" customWidth="1"/>
    <col min="5647" max="5647" width="17.42578125" style="7" customWidth="1"/>
    <col min="5648" max="5648" width="10.7109375" style="7" customWidth="1"/>
    <col min="5649" max="5649" width="13" style="7" customWidth="1"/>
    <col min="5650" max="5650" width="16.7109375" style="7" customWidth="1"/>
    <col min="5651" max="5891" width="9.140625" style="7"/>
    <col min="5892" max="5892" width="35.5703125" style="7" customWidth="1"/>
    <col min="5893" max="5893" width="23" style="7" customWidth="1"/>
    <col min="5894" max="5894" width="17.7109375" style="7" customWidth="1"/>
    <col min="5895" max="5895" width="18.42578125" style="7" customWidth="1"/>
    <col min="5896" max="5897" width="13.140625" style="7" customWidth="1"/>
    <col min="5898" max="5898" width="10.7109375" style="7" customWidth="1"/>
    <col min="5899" max="5899" width="40.85546875" style="7" customWidth="1"/>
    <col min="5900" max="5900" width="34.140625" style="7" customWidth="1"/>
    <col min="5901" max="5901" width="16" style="7" customWidth="1"/>
    <col min="5902" max="5902" width="15.7109375" style="7" customWidth="1"/>
    <col min="5903" max="5903" width="17.42578125" style="7" customWidth="1"/>
    <col min="5904" max="5904" width="10.7109375" style="7" customWidth="1"/>
    <col min="5905" max="5905" width="13" style="7" customWidth="1"/>
    <col min="5906" max="5906" width="16.7109375" style="7" customWidth="1"/>
    <col min="5907" max="6147" width="9.140625" style="7"/>
    <col min="6148" max="6148" width="35.5703125" style="7" customWidth="1"/>
    <col min="6149" max="6149" width="23" style="7" customWidth="1"/>
    <col min="6150" max="6150" width="17.7109375" style="7" customWidth="1"/>
    <col min="6151" max="6151" width="18.42578125" style="7" customWidth="1"/>
    <col min="6152" max="6153" width="13.140625" style="7" customWidth="1"/>
    <col min="6154" max="6154" width="10.7109375" style="7" customWidth="1"/>
    <col min="6155" max="6155" width="40.85546875" style="7" customWidth="1"/>
    <col min="6156" max="6156" width="34.140625" style="7" customWidth="1"/>
    <col min="6157" max="6157" width="16" style="7" customWidth="1"/>
    <col min="6158" max="6158" width="15.7109375" style="7" customWidth="1"/>
    <col min="6159" max="6159" width="17.42578125" style="7" customWidth="1"/>
    <col min="6160" max="6160" width="10.7109375" style="7" customWidth="1"/>
    <col min="6161" max="6161" width="13" style="7" customWidth="1"/>
    <col min="6162" max="6162" width="16.7109375" style="7" customWidth="1"/>
    <col min="6163" max="6403" width="9.140625" style="7"/>
    <col min="6404" max="6404" width="35.5703125" style="7" customWidth="1"/>
    <col min="6405" max="6405" width="23" style="7" customWidth="1"/>
    <col min="6406" max="6406" width="17.7109375" style="7" customWidth="1"/>
    <col min="6407" max="6407" width="18.42578125" style="7" customWidth="1"/>
    <col min="6408" max="6409" width="13.140625" style="7" customWidth="1"/>
    <col min="6410" max="6410" width="10.7109375" style="7" customWidth="1"/>
    <col min="6411" max="6411" width="40.85546875" style="7" customWidth="1"/>
    <col min="6412" max="6412" width="34.140625" style="7" customWidth="1"/>
    <col min="6413" max="6413" width="16" style="7" customWidth="1"/>
    <col min="6414" max="6414" width="15.7109375" style="7" customWidth="1"/>
    <col min="6415" max="6415" width="17.42578125" style="7" customWidth="1"/>
    <col min="6416" max="6416" width="10.7109375" style="7" customWidth="1"/>
    <col min="6417" max="6417" width="13" style="7" customWidth="1"/>
    <col min="6418" max="6418" width="16.7109375" style="7" customWidth="1"/>
    <col min="6419" max="6659" width="9.140625" style="7"/>
    <col min="6660" max="6660" width="35.5703125" style="7" customWidth="1"/>
    <col min="6661" max="6661" width="23" style="7" customWidth="1"/>
    <col min="6662" max="6662" width="17.7109375" style="7" customWidth="1"/>
    <col min="6663" max="6663" width="18.42578125" style="7" customWidth="1"/>
    <col min="6664" max="6665" width="13.140625" style="7" customWidth="1"/>
    <col min="6666" max="6666" width="10.7109375" style="7" customWidth="1"/>
    <col min="6667" max="6667" width="40.85546875" style="7" customWidth="1"/>
    <col min="6668" max="6668" width="34.140625" style="7" customWidth="1"/>
    <col min="6669" max="6669" width="16" style="7" customWidth="1"/>
    <col min="6670" max="6670" width="15.7109375" style="7" customWidth="1"/>
    <col min="6671" max="6671" width="17.42578125" style="7" customWidth="1"/>
    <col min="6672" max="6672" width="10.7109375" style="7" customWidth="1"/>
    <col min="6673" max="6673" width="13" style="7" customWidth="1"/>
    <col min="6674" max="6674" width="16.7109375" style="7" customWidth="1"/>
    <col min="6675" max="6915" width="9.140625" style="7"/>
    <col min="6916" max="6916" width="35.5703125" style="7" customWidth="1"/>
    <col min="6917" max="6917" width="23" style="7" customWidth="1"/>
    <col min="6918" max="6918" width="17.7109375" style="7" customWidth="1"/>
    <col min="6919" max="6919" width="18.42578125" style="7" customWidth="1"/>
    <col min="6920" max="6921" width="13.140625" style="7" customWidth="1"/>
    <col min="6922" max="6922" width="10.7109375" style="7" customWidth="1"/>
    <col min="6923" max="6923" width="40.85546875" style="7" customWidth="1"/>
    <col min="6924" max="6924" width="34.140625" style="7" customWidth="1"/>
    <col min="6925" max="6925" width="16" style="7" customWidth="1"/>
    <col min="6926" max="6926" width="15.7109375" style="7" customWidth="1"/>
    <col min="6927" max="6927" width="17.42578125" style="7" customWidth="1"/>
    <col min="6928" max="6928" width="10.7109375" style="7" customWidth="1"/>
    <col min="6929" max="6929" width="13" style="7" customWidth="1"/>
    <col min="6930" max="6930" width="16.7109375" style="7" customWidth="1"/>
    <col min="6931" max="7171" width="9.140625" style="7"/>
    <col min="7172" max="7172" width="35.5703125" style="7" customWidth="1"/>
    <col min="7173" max="7173" width="23" style="7" customWidth="1"/>
    <col min="7174" max="7174" width="17.7109375" style="7" customWidth="1"/>
    <col min="7175" max="7175" width="18.42578125" style="7" customWidth="1"/>
    <col min="7176" max="7177" width="13.140625" style="7" customWidth="1"/>
    <col min="7178" max="7178" width="10.7109375" style="7" customWidth="1"/>
    <col min="7179" max="7179" width="40.85546875" style="7" customWidth="1"/>
    <col min="7180" max="7180" width="34.140625" style="7" customWidth="1"/>
    <col min="7181" max="7181" width="16" style="7" customWidth="1"/>
    <col min="7182" max="7182" width="15.7109375" style="7" customWidth="1"/>
    <col min="7183" max="7183" width="17.42578125" style="7" customWidth="1"/>
    <col min="7184" max="7184" width="10.7109375" style="7" customWidth="1"/>
    <col min="7185" max="7185" width="13" style="7" customWidth="1"/>
    <col min="7186" max="7186" width="16.7109375" style="7" customWidth="1"/>
    <col min="7187" max="7427" width="9.140625" style="7"/>
    <col min="7428" max="7428" width="35.5703125" style="7" customWidth="1"/>
    <col min="7429" max="7429" width="23" style="7" customWidth="1"/>
    <col min="7430" max="7430" width="17.7109375" style="7" customWidth="1"/>
    <col min="7431" max="7431" width="18.42578125" style="7" customWidth="1"/>
    <col min="7432" max="7433" width="13.140625" style="7" customWidth="1"/>
    <col min="7434" max="7434" width="10.7109375" style="7" customWidth="1"/>
    <col min="7435" max="7435" width="40.85546875" style="7" customWidth="1"/>
    <col min="7436" max="7436" width="34.140625" style="7" customWidth="1"/>
    <col min="7437" max="7437" width="16" style="7" customWidth="1"/>
    <col min="7438" max="7438" width="15.7109375" style="7" customWidth="1"/>
    <col min="7439" max="7439" width="17.42578125" style="7" customWidth="1"/>
    <col min="7440" max="7440" width="10.7109375" style="7" customWidth="1"/>
    <col min="7441" max="7441" width="13" style="7" customWidth="1"/>
    <col min="7442" max="7442" width="16.7109375" style="7" customWidth="1"/>
    <col min="7443" max="7683" width="9.140625" style="7"/>
    <col min="7684" max="7684" width="35.5703125" style="7" customWidth="1"/>
    <col min="7685" max="7685" width="23" style="7" customWidth="1"/>
    <col min="7686" max="7686" width="17.7109375" style="7" customWidth="1"/>
    <col min="7687" max="7687" width="18.42578125" style="7" customWidth="1"/>
    <col min="7688" max="7689" width="13.140625" style="7" customWidth="1"/>
    <col min="7690" max="7690" width="10.7109375" style="7" customWidth="1"/>
    <col min="7691" max="7691" width="40.85546875" style="7" customWidth="1"/>
    <col min="7692" max="7692" width="34.140625" style="7" customWidth="1"/>
    <col min="7693" max="7693" width="16" style="7" customWidth="1"/>
    <col min="7694" max="7694" width="15.7109375" style="7" customWidth="1"/>
    <col min="7695" max="7695" width="17.42578125" style="7" customWidth="1"/>
    <col min="7696" max="7696" width="10.7109375" style="7" customWidth="1"/>
    <col min="7697" max="7697" width="13" style="7" customWidth="1"/>
    <col min="7698" max="7698" width="16.7109375" style="7" customWidth="1"/>
    <col min="7699" max="7939" width="9.140625" style="7"/>
    <col min="7940" max="7940" width="35.5703125" style="7" customWidth="1"/>
    <col min="7941" max="7941" width="23" style="7" customWidth="1"/>
    <col min="7942" max="7942" width="17.7109375" style="7" customWidth="1"/>
    <col min="7943" max="7943" width="18.42578125" style="7" customWidth="1"/>
    <col min="7944" max="7945" width="13.140625" style="7" customWidth="1"/>
    <col min="7946" max="7946" width="10.7109375" style="7" customWidth="1"/>
    <col min="7947" max="7947" width="40.85546875" style="7" customWidth="1"/>
    <col min="7948" max="7948" width="34.140625" style="7" customWidth="1"/>
    <col min="7949" max="7949" width="16" style="7" customWidth="1"/>
    <col min="7950" max="7950" width="15.7109375" style="7" customWidth="1"/>
    <col min="7951" max="7951" width="17.42578125" style="7" customWidth="1"/>
    <col min="7952" max="7952" width="10.7109375" style="7" customWidth="1"/>
    <col min="7953" max="7953" width="13" style="7" customWidth="1"/>
    <col min="7954" max="7954" width="16.7109375" style="7" customWidth="1"/>
    <col min="7955" max="8195" width="9.140625" style="7"/>
    <col min="8196" max="8196" width="35.5703125" style="7" customWidth="1"/>
    <col min="8197" max="8197" width="23" style="7" customWidth="1"/>
    <col min="8198" max="8198" width="17.7109375" style="7" customWidth="1"/>
    <col min="8199" max="8199" width="18.42578125" style="7" customWidth="1"/>
    <col min="8200" max="8201" width="13.140625" style="7" customWidth="1"/>
    <col min="8202" max="8202" width="10.7109375" style="7" customWidth="1"/>
    <col min="8203" max="8203" width="40.85546875" style="7" customWidth="1"/>
    <col min="8204" max="8204" width="34.140625" style="7" customWidth="1"/>
    <col min="8205" max="8205" width="16" style="7" customWidth="1"/>
    <col min="8206" max="8206" width="15.7109375" style="7" customWidth="1"/>
    <col min="8207" max="8207" width="17.42578125" style="7" customWidth="1"/>
    <col min="8208" max="8208" width="10.7109375" style="7" customWidth="1"/>
    <col min="8209" max="8209" width="13" style="7" customWidth="1"/>
    <col min="8210" max="8210" width="16.7109375" style="7" customWidth="1"/>
    <col min="8211" max="8451" width="9.140625" style="7"/>
    <col min="8452" max="8452" width="35.5703125" style="7" customWidth="1"/>
    <col min="8453" max="8453" width="23" style="7" customWidth="1"/>
    <col min="8454" max="8454" width="17.7109375" style="7" customWidth="1"/>
    <col min="8455" max="8455" width="18.42578125" style="7" customWidth="1"/>
    <col min="8456" max="8457" width="13.140625" style="7" customWidth="1"/>
    <col min="8458" max="8458" width="10.7109375" style="7" customWidth="1"/>
    <col min="8459" max="8459" width="40.85546875" style="7" customWidth="1"/>
    <col min="8460" max="8460" width="34.140625" style="7" customWidth="1"/>
    <col min="8461" max="8461" width="16" style="7" customWidth="1"/>
    <col min="8462" max="8462" width="15.7109375" style="7" customWidth="1"/>
    <col min="8463" max="8463" width="17.42578125" style="7" customWidth="1"/>
    <col min="8464" max="8464" width="10.7109375" style="7" customWidth="1"/>
    <col min="8465" max="8465" width="13" style="7" customWidth="1"/>
    <col min="8466" max="8466" width="16.7109375" style="7" customWidth="1"/>
    <col min="8467" max="8707" width="9.140625" style="7"/>
    <col min="8708" max="8708" width="35.5703125" style="7" customWidth="1"/>
    <col min="8709" max="8709" width="23" style="7" customWidth="1"/>
    <col min="8710" max="8710" width="17.7109375" style="7" customWidth="1"/>
    <col min="8711" max="8711" width="18.42578125" style="7" customWidth="1"/>
    <col min="8712" max="8713" width="13.140625" style="7" customWidth="1"/>
    <col min="8714" max="8714" width="10.7109375" style="7" customWidth="1"/>
    <col min="8715" max="8715" width="40.85546875" style="7" customWidth="1"/>
    <col min="8716" max="8716" width="34.140625" style="7" customWidth="1"/>
    <col min="8717" max="8717" width="16" style="7" customWidth="1"/>
    <col min="8718" max="8718" width="15.7109375" style="7" customWidth="1"/>
    <col min="8719" max="8719" width="17.42578125" style="7" customWidth="1"/>
    <col min="8720" max="8720" width="10.7109375" style="7" customWidth="1"/>
    <col min="8721" max="8721" width="13" style="7" customWidth="1"/>
    <col min="8722" max="8722" width="16.7109375" style="7" customWidth="1"/>
    <col min="8723" max="8963" width="9.140625" style="7"/>
    <col min="8964" max="8964" width="35.5703125" style="7" customWidth="1"/>
    <col min="8965" max="8965" width="23" style="7" customWidth="1"/>
    <col min="8966" max="8966" width="17.7109375" style="7" customWidth="1"/>
    <col min="8967" max="8967" width="18.42578125" style="7" customWidth="1"/>
    <col min="8968" max="8969" width="13.140625" style="7" customWidth="1"/>
    <col min="8970" max="8970" width="10.7109375" style="7" customWidth="1"/>
    <col min="8971" max="8971" width="40.85546875" style="7" customWidth="1"/>
    <col min="8972" max="8972" width="34.140625" style="7" customWidth="1"/>
    <col min="8973" max="8973" width="16" style="7" customWidth="1"/>
    <col min="8974" max="8974" width="15.7109375" style="7" customWidth="1"/>
    <col min="8975" max="8975" width="17.42578125" style="7" customWidth="1"/>
    <col min="8976" max="8976" width="10.7109375" style="7" customWidth="1"/>
    <col min="8977" max="8977" width="13" style="7" customWidth="1"/>
    <col min="8978" max="8978" width="16.7109375" style="7" customWidth="1"/>
    <col min="8979" max="9219" width="9.140625" style="7"/>
    <col min="9220" max="9220" width="35.5703125" style="7" customWidth="1"/>
    <col min="9221" max="9221" width="23" style="7" customWidth="1"/>
    <col min="9222" max="9222" width="17.7109375" style="7" customWidth="1"/>
    <col min="9223" max="9223" width="18.42578125" style="7" customWidth="1"/>
    <col min="9224" max="9225" width="13.140625" style="7" customWidth="1"/>
    <col min="9226" max="9226" width="10.7109375" style="7" customWidth="1"/>
    <col min="9227" max="9227" width="40.85546875" style="7" customWidth="1"/>
    <col min="9228" max="9228" width="34.140625" style="7" customWidth="1"/>
    <col min="9229" max="9229" width="16" style="7" customWidth="1"/>
    <col min="9230" max="9230" width="15.7109375" style="7" customWidth="1"/>
    <col min="9231" max="9231" width="17.42578125" style="7" customWidth="1"/>
    <col min="9232" max="9232" width="10.7109375" style="7" customWidth="1"/>
    <col min="9233" max="9233" width="13" style="7" customWidth="1"/>
    <col min="9234" max="9234" width="16.7109375" style="7" customWidth="1"/>
    <col min="9235" max="9475" width="9.140625" style="7"/>
    <col min="9476" max="9476" width="35.5703125" style="7" customWidth="1"/>
    <col min="9477" max="9477" width="23" style="7" customWidth="1"/>
    <col min="9478" max="9478" width="17.7109375" style="7" customWidth="1"/>
    <col min="9479" max="9479" width="18.42578125" style="7" customWidth="1"/>
    <col min="9480" max="9481" width="13.140625" style="7" customWidth="1"/>
    <col min="9482" max="9482" width="10.7109375" style="7" customWidth="1"/>
    <col min="9483" max="9483" width="40.85546875" style="7" customWidth="1"/>
    <col min="9484" max="9484" width="34.140625" style="7" customWidth="1"/>
    <col min="9485" max="9485" width="16" style="7" customWidth="1"/>
    <col min="9486" max="9486" width="15.7109375" style="7" customWidth="1"/>
    <col min="9487" max="9487" width="17.42578125" style="7" customWidth="1"/>
    <col min="9488" max="9488" width="10.7109375" style="7" customWidth="1"/>
    <col min="9489" max="9489" width="13" style="7" customWidth="1"/>
    <col min="9490" max="9490" width="16.7109375" style="7" customWidth="1"/>
    <col min="9491" max="9731" width="9.140625" style="7"/>
    <col min="9732" max="9732" width="35.5703125" style="7" customWidth="1"/>
    <col min="9733" max="9733" width="23" style="7" customWidth="1"/>
    <col min="9734" max="9734" width="17.7109375" style="7" customWidth="1"/>
    <col min="9735" max="9735" width="18.42578125" style="7" customWidth="1"/>
    <col min="9736" max="9737" width="13.140625" style="7" customWidth="1"/>
    <col min="9738" max="9738" width="10.7109375" style="7" customWidth="1"/>
    <col min="9739" max="9739" width="40.85546875" style="7" customWidth="1"/>
    <col min="9740" max="9740" width="34.140625" style="7" customWidth="1"/>
    <col min="9741" max="9741" width="16" style="7" customWidth="1"/>
    <col min="9742" max="9742" width="15.7109375" style="7" customWidth="1"/>
    <col min="9743" max="9743" width="17.42578125" style="7" customWidth="1"/>
    <col min="9744" max="9744" width="10.7109375" style="7" customWidth="1"/>
    <col min="9745" max="9745" width="13" style="7" customWidth="1"/>
    <col min="9746" max="9746" width="16.7109375" style="7" customWidth="1"/>
    <col min="9747" max="9987" width="9.140625" style="7"/>
    <col min="9988" max="9988" width="35.5703125" style="7" customWidth="1"/>
    <col min="9989" max="9989" width="23" style="7" customWidth="1"/>
    <col min="9990" max="9990" width="17.7109375" style="7" customWidth="1"/>
    <col min="9991" max="9991" width="18.42578125" style="7" customWidth="1"/>
    <col min="9992" max="9993" width="13.140625" style="7" customWidth="1"/>
    <col min="9994" max="9994" width="10.7109375" style="7" customWidth="1"/>
    <col min="9995" max="9995" width="40.85546875" style="7" customWidth="1"/>
    <col min="9996" max="9996" width="34.140625" style="7" customWidth="1"/>
    <col min="9997" max="9997" width="16" style="7" customWidth="1"/>
    <col min="9998" max="9998" width="15.7109375" style="7" customWidth="1"/>
    <col min="9999" max="9999" width="17.42578125" style="7" customWidth="1"/>
    <col min="10000" max="10000" width="10.7109375" style="7" customWidth="1"/>
    <col min="10001" max="10001" width="13" style="7" customWidth="1"/>
    <col min="10002" max="10002" width="16.7109375" style="7" customWidth="1"/>
    <col min="10003" max="10243" width="9.140625" style="7"/>
    <col min="10244" max="10244" width="35.5703125" style="7" customWidth="1"/>
    <col min="10245" max="10245" width="23" style="7" customWidth="1"/>
    <col min="10246" max="10246" width="17.7109375" style="7" customWidth="1"/>
    <col min="10247" max="10247" width="18.42578125" style="7" customWidth="1"/>
    <col min="10248" max="10249" width="13.140625" style="7" customWidth="1"/>
    <col min="10250" max="10250" width="10.7109375" style="7" customWidth="1"/>
    <col min="10251" max="10251" width="40.85546875" style="7" customWidth="1"/>
    <col min="10252" max="10252" width="34.140625" style="7" customWidth="1"/>
    <col min="10253" max="10253" width="16" style="7" customWidth="1"/>
    <col min="10254" max="10254" width="15.7109375" style="7" customWidth="1"/>
    <col min="10255" max="10255" width="17.42578125" style="7" customWidth="1"/>
    <col min="10256" max="10256" width="10.7109375" style="7" customWidth="1"/>
    <col min="10257" max="10257" width="13" style="7" customWidth="1"/>
    <col min="10258" max="10258" width="16.7109375" style="7" customWidth="1"/>
    <col min="10259" max="10499" width="9.140625" style="7"/>
    <col min="10500" max="10500" width="35.5703125" style="7" customWidth="1"/>
    <col min="10501" max="10501" width="23" style="7" customWidth="1"/>
    <col min="10502" max="10502" width="17.7109375" style="7" customWidth="1"/>
    <col min="10503" max="10503" width="18.42578125" style="7" customWidth="1"/>
    <col min="10504" max="10505" width="13.140625" style="7" customWidth="1"/>
    <col min="10506" max="10506" width="10.7109375" style="7" customWidth="1"/>
    <col min="10507" max="10507" width="40.85546875" style="7" customWidth="1"/>
    <col min="10508" max="10508" width="34.140625" style="7" customWidth="1"/>
    <col min="10509" max="10509" width="16" style="7" customWidth="1"/>
    <col min="10510" max="10510" width="15.7109375" style="7" customWidth="1"/>
    <col min="10511" max="10511" width="17.42578125" style="7" customWidth="1"/>
    <col min="10512" max="10512" width="10.7109375" style="7" customWidth="1"/>
    <col min="10513" max="10513" width="13" style="7" customWidth="1"/>
    <col min="10514" max="10514" width="16.7109375" style="7" customWidth="1"/>
    <col min="10515" max="10755" width="9.140625" style="7"/>
    <col min="10756" max="10756" width="35.5703125" style="7" customWidth="1"/>
    <col min="10757" max="10757" width="23" style="7" customWidth="1"/>
    <col min="10758" max="10758" width="17.7109375" style="7" customWidth="1"/>
    <col min="10759" max="10759" width="18.42578125" style="7" customWidth="1"/>
    <col min="10760" max="10761" width="13.140625" style="7" customWidth="1"/>
    <col min="10762" max="10762" width="10.7109375" style="7" customWidth="1"/>
    <col min="10763" max="10763" width="40.85546875" style="7" customWidth="1"/>
    <col min="10764" max="10764" width="34.140625" style="7" customWidth="1"/>
    <col min="10765" max="10765" width="16" style="7" customWidth="1"/>
    <col min="10766" max="10766" width="15.7109375" style="7" customWidth="1"/>
    <col min="10767" max="10767" width="17.42578125" style="7" customWidth="1"/>
    <col min="10768" max="10768" width="10.7109375" style="7" customWidth="1"/>
    <col min="10769" max="10769" width="13" style="7" customWidth="1"/>
    <col min="10770" max="10770" width="16.7109375" style="7" customWidth="1"/>
    <col min="10771" max="11011" width="9.140625" style="7"/>
    <col min="11012" max="11012" width="35.5703125" style="7" customWidth="1"/>
    <col min="11013" max="11013" width="23" style="7" customWidth="1"/>
    <col min="11014" max="11014" width="17.7109375" style="7" customWidth="1"/>
    <col min="11015" max="11015" width="18.42578125" style="7" customWidth="1"/>
    <col min="11016" max="11017" width="13.140625" style="7" customWidth="1"/>
    <col min="11018" max="11018" width="10.7109375" style="7" customWidth="1"/>
    <col min="11019" max="11019" width="40.85546875" style="7" customWidth="1"/>
    <col min="11020" max="11020" width="34.140625" style="7" customWidth="1"/>
    <col min="11021" max="11021" width="16" style="7" customWidth="1"/>
    <col min="11022" max="11022" width="15.7109375" style="7" customWidth="1"/>
    <col min="11023" max="11023" width="17.42578125" style="7" customWidth="1"/>
    <col min="11024" max="11024" width="10.7109375" style="7" customWidth="1"/>
    <col min="11025" max="11025" width="13" style="7" customWidth="1"/>
    <col min="11026" max="11026" width="16.7109375" style="7" customWidth="1"/>
    <col min="11027" max="11267" width="9.140625" style="7"/>
    <col min="11268" max="11268" width="35.5703125" style="7" customWidth="1"/>
    <col min="11269" max="11269" width="23" style="7" customWidth="1"/>
    <col min="11270" max="11270" width="17.7109375" style="7" customWidth="1"/>
    <col min="11271" max="11271" width="18.42578125" style="7" customWidth="1"/>
    <col min="11272" max="11273" width="13.140625" style="7" customWidth="1"/>
    <col min="11274" max="11274" width="10.7109375" style="7" customWidth="1"/>
    <col min="11275" max="11275" width="40.85546875" style="7" customWidth="1"/>
    <col min="11276" max="11276" width="34.140625" style="7" customWidth="1"/>
    <col min="11277" max="11277" width="16" style="7" customWidth="1"/>
    <col min="11278" max="11278" width="15.7109375" style="7" customWidth="1"/>
    <col min="11279" max="11279" width="17.42578125" style="7" customWidth="1"/>
    <col min="11280" max="11280" width="10.7109375" style="7" customWidth="1"/>
    <col min="11281" max="11281" width="13" style="7" customWidth="1"/>
    <col min="11282" max="11282" width="16.7109375" style="7" customWidth="1"/>
    <col min="11283" max="11523" width="9.140625" style="7"/>
    <col min="11524" max="11524" width="35.5703125" style="7" customWidth="1"/>
    <col min="11525" max="11525" width="23" style="7" customWidth="1"/>
    <col min="11526" max="11526" width="17.7109375" style="7" customWidth="1"/>
    <col min="11527" max="11527" width="18.42578125" style="7" customWidth="1"/>
    <col min="11528" max="11529" width="13.140625" style="7" customWidth="1"/>
    <col min="11530" max="11530" width="10.7109375" style="7" customWidth="1"/>
    <col min="11531" max="11531" width="40.85546875" style="7" customWidth="1"/>
    <col min="11532" max="11532" width="34.140625" style="7" customWidth="1"/>
    <col min="11533" max="11533" width="16" style="7" customWidth="1"/>
    <col min="11534" max="11534" width="15.7109375" style="7" customWidth="1"/>
    <col min="11535" max="11535" width="17.42578125" style="7" customWidth="1"/>
    <col min="11536" max="11536" width="10.7109375" style="7" customWidth="1"/>
    <col min="11537" max="11537" width="13" style="7" customWidth="1"/>
    <col min="11538" max="11538" width="16.7109375" style="7" customWidth="1"/>
    <col min="11539" max="11779" width="9.140625" style="7"/>
    <col min="11780" max="11780" width="35.5703125" style="7" customWidth="1"/>
    <col min="11781" max="11781" width="23" style="7" customWidth="1"/>
    <col min="11782" max="11782" width="17.7109375" style="7" customWidth="1"/>
    <col min="11783" max="11783" width="18.42578125" style="7" customWidth="1"/>
    <col min="11784" max="11785" width="13.140625" style="7" customWidth="1"/>
    <col min="11786" max="11786" width="10.7109375" style="7" customWidth="1"/>
    <col min="11787" max="11787" width="40.85546875" style="7" customWidth="1"/>
    <col min="11788" max="11788" width="34.140625" style="7" customWidth="1"/>
    <col min="11789" max="11789" width="16" style="7" customWidth="1"/>
    <col min="11790" max="11790" width="15.7109375" style="7" customWidth="1"/>
    <col min="11791" max="11791" width="17.42578125" style="7" customWidth="1"/>
    <col min="11792" max="11792" width="10.7109375" style="7" customWidth="1"/>
    <col min="11793" max="11793" width="13" style="7" customWidth="1"/>
    <col min="11794" max="11794" width="16.7109375" style="7" customWidth="1"/>
    <col min="11795" max="12035" width="9.140625" style="7"/>
    <col min="12036" max="12036" width="35.5703125" style="7" customWidth="1"/>
    <col min="12037" max="12037" width="23" style="7" customWidth="1"/>
    <col min="12038" max="12038" width="17.7109375" style="7" customWidth="1"/>
    <col min="12039" max="12039" width="18.42578125" style="7" customWidth="1"/>
    <col min="12040" max="12041" width="13.140625" style="7" customWidth="1"/>
    <col min="12042" max="12042" width="10.7109375" style="7" customWidth="1"/>
    <col min="12043" max="12043" width="40.85546875" style="7" customWidth="1"/>
    <col min="12044" max="12044" width="34.140625" style="7" customWidth="1"/>
    <col min="12045" max="12045" width="16" style="7" customWidth="1"/>
    <col min="12046" max="12046" width="15.7109375" style="7" customWidth="1"/>
    <col min="12047" max="12047" width="17.42578125" style="7" customWidth="1"/>
    <col min="12048" max="12048" width="10.7109375" style="7" customWidth="1"/>
    <col min="12049" max="12049" width="13" style="7" customWidth="1"/>
    <col min="12050" max="12050" width="16.7109375" style="7" customWidth="1"/>
    <col min="12051" max="12291" width="9.140625" style="7"/>
    <col min="12292" max="12292" width="35.5703125" style="7" customWidth="1"/>
    <col min="12293" max="12293" width="23" style="7" customWidth="1"/>
    <col min="12294" max="12294" width="17.7109375" style="7" customWidth="1"/>
    <col min="12295" max="12295" width="18.42578125" style="7" customWidth="1"/>
    <col min="12296" max="12297" width="13.140625" style="7" customWidth="1"/>
    <col min="12298" max="12298" width="10.7109375" style="7" customWidth="1"/>
    <col min="12299" max="12299" width="40.85546875" style="7" customWidth="1"/>
    <col min="12300" max="12300" width="34.140625" style="7" customWidth="1"/>
    <col min="12301" max="12301" width="16" style="7" customWidth="1"/>
    <col min="12302" max="12302" width="15.7109375" style="7" customWidth="1"/>
    <col min="12303" max="12303" width="17.42578125" style="7" customWidth="1"/>
    <col min="12304" max="12304" width="10.7109375" style="7" customWidth="1"/>
    <col min="12305" max="12305" width="13" style="7" customWidth="1"/>
    <col min="12306" max="12306" width="16.7109375" style="7" customWidth="1"/>
    <col min="12307" max="12547" width="9.140625" style="7"/>
    <col min="12548" max="12548" width="35.5703125" style="7" customWidth="1"/>
    <col min="12549" max="12549" width="23" style="7" customWidth="1"/>
    <col min="12550" max="12550" width="17.7109375" style="7" customWidth="1"/>
    <col min="12551" max="12551" width="18.42578125" style="7" customWidth="1"/>
    <col min="12552" max="12553" width="13.140625" style="7" customWidth="1"/>
    <col min="12554" max="12554" width="10.7109375" style="7" customWidth="1"/>
    <col min="12555" max="12555" width="40.85546875" style="7" customWidth="1"/>
    <col min="12556" max="12556" width="34.140625" style="7" customWidth="1"/>
    <col min="12557" max="12557" width="16" style="7" customWidth="1"/>
    <col min="12558" max="12558" width="15.7109375" style="7" customWidth="1"/>
    <col min="12559" max="12559" width="17.42578125" style="7" customWidth="1"/>
    <col min="12560" max="12560" width="10.7109375" style="7" customWidth="1"/>
    <col min="12561" max="12561" width="13" style="7" customWidth="1"/>
    <col min="12562" max="12562" width="16.7109375" style="7" customWidth="1"/>
    <col min="12563" max="12803" width="9.140625" style="7"/>
    <col min="12804" max="12804" width="35.5703125" style="7" customWidth="1"/>
    <col min="12805" max="12805" width="23" style="7" customWidth="1"/>
    <col min="12806" max="12806" width="17.7109375" style="7" customWidth="1"/>
    <col min="12807" max="12807" width="18.42578125" style="7" customWidth="1"/>
    <col min="12808" max="12809" width="13.140625" style="7" customWidth="1"/>
    <col min="12810" max="12810" width="10.7109375" style="7" customWidth="1"/>
    <col min="12811" max="12811" width="40.85546875" style="7" customWidth="1"/>
    <col min="12812" max="12812" width="34.140625" style="7" customWidth="1"/>
    <col min="12813" max="12813" width="16" style="7" customWidth="1"/>
    <col min="12814" max="12814" width="15.7109375" style="7" customWidth="1"/>
    <col min="12815" max="12815" width="17.42578125" style="7" customWidth="1"/>
    <col min="12816" max="12816" width="10.7109375" style="7" customWidth="1"/>
    <col min="12817" max="12817" width="13" style="7" customWidth="1"/>
    <col min="12818" max="12818" width="16.7109375" style="7" customWidth="1"/>
    <col min="12819" max="13059" width="9.140625" style="7"/>
    <col min="13060" max="13060" width="35.5703125" style="7" customWidth="1"/>
    <col min="13061" max="13061" width="23" style="7" customWidth="1"/>
    <col min="13062" max="13062" width="17.7109375" style="7" customWidth="1"/>
    <col min="13063" max="13063" width="18.42578125" style="7" customWidth="1"/>
    <col min="13064" max="13065" width="13.140625" style="7" customWidth="1"/>
    <col min="13066" max="13066" width="10.7109375" style="7" customWidth="1"/>
    <col min="13067" max="13067" width="40.85546875" style="7" customWidth="1"/>
    <col min="13068" max="13068" width="34.140625" style="7" customWidth="1"/>
    <col min="13069" max="13069" width="16" style="7" customWidth="1"/>
    <col min="13070" max="13070" width="15.7109375" style="7" customWidth="1"/>
    <col min="13071" max="13071" width="17.42578125" style="7" customWidth="1"/>
    <col min="13072" max="13072" width="10.7109375" style="7" customWidth="1"/>
    <col min="13073" max="13073" width="13" style="7" customWidth="1"/>
    <col min="13074" max="13074" width="16.7109375" style="7" customWidth="1"/>
    <col min="13075" max="13315" width="9.140625" style="7"/>
    <col min="13316" max="13316" width="35.5703125" style="7" customWidth="1"/>
    <col min="13317" max="13317" width="23" style="7" customWidth="1"/>
    <col min="13318" max="13318" width="17.7109375" style="7" customWidth="1"/>
    <col min="13319" max="13319" width="18.42578125" style="7" customWidth="1"/>
    <col min="13320" max="13321" width="13.140625" style="7" customWidth="1"/>
    <col min="13322" max="13322" width="10.7109375" style="7" customWidth="1"/>
    <col min="13323" max="13323" width="40.85546875" style="7" customWidth="1"/>
    <col min="13324" max="13324" width="34.140625" style="7" customWidth="1"/>
    <col min="13325" max="13325" width="16" style="7" customWidth="1"/>
    <col min="13326" max="13326" width="15.7109375" style="7" customWidth="1"/>
    <col min="13327" max="13327" width="17.42578125" style="7" customWidth="1"/>
    <col min="13328" max="13328" width="10.7109375" style="7" customWidth="1"/>
    <col min="13329" max="13329" width="13" style="7" customWidth="1"/>
    <col min="13330" max="13330" width="16.7109375" style="7" customWidth="1"/>
    <col min="13331" max="13571" width="9.140625" style="7"/>
    <col min="13572" max="13572" width="35.5703125" style="7" customWidth="1"/>
    <col min="13573" max="13573" width="23" style="7" customWidth="1"/>
    <col min="13574" max="13574" width="17.7109375" style="7" customWidth="1"/>
    <col min="13575" max="13575" width="18.42578125" style="7" customWidth="1"/>
    <col min="13576" max="13577" width="13.140625" style="7" customWidth="1"/>
    <col min="13578" max="13578" width="10.7109375" style="7" customWidth="1"/>
    <col min="13579" max="13579" width="40.85546875" style="7" customWidth="1"/>
    <col min="13580" max="13580" width="34.140625" style="7" customWidth="1"/>
    <col min="13581" max="13581" width="16" style="7" customWidth="1"/>
    <col min="13582" max="13582" width="15.7109375" style="7" customWidth="1"/>
    <col min="13583" max="13583" width="17.42578125" style="7" customWidth="1"/>
    <col min="13584" max="13584" width="10.7109375" style="7" customWidth="1"/>
    <col min="13585" max="13585" width="13" style="7" customWidth="1"/>
    <col min="13586" max="13586" width="16.7109375" style="7" customWidth="1"/>
    <col min="13587" max="13827" width="9.140625" style="7"/>
    <col min="13828" max="13828" width="35.5703125" style="7" customWidth="1"/>
    <col min="13829" max="13829" width="23" style="7" customWidth="1"/>
    <col min="13830" max="13830" width="17.7109375" style="7" customWidth="1"/>
    <col min="13831" max="13831" width="18.42578125" style="7" customWidth="1"/>
    <col min="13832" max="13833" width="13.140625" style="7" customWidth="1"/>
    <col min="13834" max="13834" width="10.7109375" style="7" customWidth="1"/>
    <col min="13835" max="13835" width="40.85546875" style="7" customWidth="1"/>
    <col min="13836" max="13836" width="34.140625" style="7" customWidth="1"/>
    <col min="13837" max="13837" width="16" style="7" customWidth="1"/>
    <col min="13838" max="13838" width="15.7109375" style="7" customWidth="1"/>
    <col min="13839" max="13839" width="17.42578125" style="7" customWidth="1"/>
    <col min="13840" max="13840" width="10.7109375" style="7" customWidth="1"/>
    <col min="13841" max="13841" width="13" style="7" customWidth="1"/>
    <col min="13842" max="13842" width="16.7109375" style="7" customWidth="1"/>
    <col min="13843" max="14083" width="9.140625" style="7"/>
    <col min="14084" max="14084" width="35.5703125" style="7" customWidth="1"/>
    <col min="14085" max="14085" width="23" style="7" customWidth="1"/>
    <col min="14086" max="14086" width="17.7109375" style="7" customWidth="1"/>
    <col min="14087" max="14087" width="18.42578125" style="7" customWidth="1"/>
    <col min="14088" max="14089" width="13.140625" style="7" customWidth="1"/>
    <col min="14090" max="14090" width="10.7109375" style="7" customWidth="1"/>
    <col min="14091" max="14091" width="40.85546875" style="7" customWidth="1"/>
    <col min="14092" max="14092" width="34.140625" style="7" customWidth="1"/>
    <col min="14093" max="14093" width="16" style="7" customWidth="1"/>
    <col min="14094" max="14094" width="15.7109375" style="7" customWidth="1"/>
    <col min="14095" max="14095" width="17.42578125" style="7" customWidth="1"/>
    <col min="14096" max="14096" width="10.7109375" style="7" customWidth="1"/>
    <col min="14097" max="14097" width="13" style="7" customWidth="1"/>
    <col min="14098" max="14098" width="16.7109375" style="7" customWidth="1"/>
    <col min="14099" max="14339" width="9.140625" style="7"/>
    <col min="14340" max="14340" width="35.5703125" style="7" customWidth="1"/>
    <col min="14341" max="14341" width="23" style="7" customWidth="1"/>
    <col min="14342" max="14342" width="17.7109375" style="7" customWidth="1"/>
    <col min="14343" max="14343" width="18.42578125" style="7" customWidth="1"/>
    <col min="14344" max="14345" width="13.140625" style="7" customWidth="1"/>
    <col min="14346" max="14346" width="10.7109375" style="7" customWidth="1"/>
    <col min="14347" max="14347" width="40.85546875" style="7" customWidth="1"/>
    <col min="14348" max="14348" width="34.140625" style="7" customWidth="1"/>
    <col min="14349" max="14349" width="16" style="7" customWidth="1"/>
    <col min="14350" max="14350" width="15.7109375" style="7" customWidth="1"/>
    <col min="14351" max="14351" width="17.42578125" style="7" customWidth="1"/>
    <col min="14352" max="14352" width="10.7109375" style="7" customWidth="1"/>
    <col min="14353" max="14353" width="13" style="7" customWidth="1"/>
    <col min="14354" max="14354" width="16.7109375" style="7" customWidth="1"/>
    <col min="14355" max="14595" width="9.140625" style="7"/>
    <col min="14596" max="14596" width="35.5703125" style="7" customWidth="1"/>
    <col min="14597" max="14597" width="23" style="7" customWidth="1"/>
    <col min="14598" max="14598" width="17.7109375" style="7" customWidth="1"/>
    <col min="14599" max="14599" width="18.42578125" style="7" customWidth="1"/>
    <col min="14600" max="14601" width="13.140625" style="7" customWidth="1"/>
    <col min="14602" max="14602" width="10.7109375" style="7" customWidth="1"/>
    <col min="14603" max="14603" width="40.85546875" style="7" customWidth="1"/>
    <col min="14604" max="14604" width="34.140625" style="7" customWidth="1"/>
    <col min="14605" max="14605" width="16" style="7" customWidth="1"/>
    <col min="14606" max="14606" width="15.7109375" style="7" customWidth="1"/>
    <col min="14607" max="14607" width="17.42578125" style="7" customWidth="1"/>
    <col min="14608" max="14608" width="10.7109375" style="7" customWidth="1"/>
    <col min="14609" max="14609" width="13" style="7" customWidth="1"/>
    <col min="14610" max="14610" width="16.7109375" style="7" customWidth="1"/>
    <col min="14611" max="14851" width="9.140625" style="7"/>
    <col min="14852" max="14852" width="35.5703125" style="7" customWidth="1"/>
    <col min="14853" max="14853" width="23" style="7" customWidth="1"/>
    <col min="14854" max="14854" width="17.7109375" style="7" customWidth="1"/>
    <col min="14855" max="14855" width="18.42578125" style="7" customWidth="1"/>
    <col min="14856" max="14857" width="13.140625" style="7" customWidth="1"/>
    <col min="14858" max="14858" width="10.7109375" style="7" customWidth="1"/>
    <col min="14859" max="14859" width="40.85546875" style="7" customWidth="1"/>
    <col min="14860" max="14860" width="34.140625" style="7" customWidth="1"/>
    <col min="14861" max="14861" width="16" style="7" customWidth="1"/>
    <col min="14862" max="14862" width="15.7109375" style="7" customWidth="1"/>
    <col min="14863" max="14863" width="17.42578125" style="7" customWidth="1"/>
    <col min="14864" max="14864" width="10.7109375" style="7" customWidth="1"/>
    <col min="14865" max="14865" width="13" style="7" customWidth="1"/>
    <col min="14866" max="14866" width="16.7109375" style="7" customWidth="1"/>
    <col min="14867" max="15107" width="9.140625" style="7"/>
    <col min="15108" max="15108" width="35.5703125" style="7" customWidth="1"/>
    <col min="15109" max="15109" width="23" style="7" customWidth="1"/>
    <col min="15110" max="15110" width="17.7109375" style="7" customWidth="1"/>
    <col min="15111" max="15111" width="18.42578125" style="7" customWidth="1"/>
    <col min="15112" max="15113" width="13.140625" style="7" customWidth="1"/>
    <col min="15114" max="15114" width="10.7109375" style="7" customWidth="1"/>
    <col min="15115" max="15115" width="40.85546875" style="7" customWidth="1"/>
    <col min="15116" max="15116" width="34.140625" style="7" customWidth="1"/>
    <col min="15117" max="15117" width="16" style="7" customWidth="1"/>
    <col min="15118" max="15118" width="15.7109375" style="7" customWidth="1"/>
    <col min="15119" max="15119" width="17.42578125" style="7" customWidth="1"/>
    <col min="15120" max="15120" width="10.7109375" style="7" customWidth="1"/>
    <col min="15121" max="15121" width="13" style="7" customWidth="1"/>
    <col min="15122" max="15122" width="16.7109375" style="7" customWidth="1"/>
    <col min="15123" max="15363" width="9.140625" style="7"/>
    <col min="15364" max="15364" width="35.5703125" style="7" customWidth="1"/>
    <col min="15365" max="15365" width="23" style="7" customWidth="1"/>
    <col min="15366" max="15366" width="17.7109375" style="7" customWidth="1"/>
    <col min="15367" max="15367" width="18.42578125" style="7" customWidth="1"/>
    <col min="15368" max="15369" width="13.140625" style="7" customWidth="1"/>
    <col min="15370" max="15370" width="10.7109375" style="7" customWidth="1"/>
    <col min="15371" max="15371" width="40.85546875" style="7" customWidth="1"/>
    <col min="15372" max="15372" width="34.140625" style="7" customWidth="1"/>
    <col min="15373" max="15373" width="16" style="7" customWidth="1"/>
    <col min="15374" max="15374" width="15.7109375" style="7" customWidth="1"/>
    <col min="15375" max="15375" width="17.42578125" style="7" customWidth="1"/>
    <col min="15376" max="15376" width="10.7109375" style="7" customWidth="1"/>
    <col min="15377" max="15377" width="13" style="7" customWidth="1"/>
    <col min="15378" max="15378" width="16.7109375" style="7" customWidth="1"/>
    <col min="15379" max="15619" width="9.140625" style="7"/>
    <col min="15620" max="15620" width="35.5703125" style="7" customWidth="1"/>
    <col min="15621" max="15621" width="23" style="7" customWidth="1"/>
    <col min="15622" max="15622" width="17.7109375" style="7" customWidth="1"/>
    <col min="15623" max="15623" width="18.42578125" style="7" customWidth="1"/>
    <col min="15624" max="15625" width="13.140625" style="7" customWidth="1"/>
    <col min="15626" max="15626" width="10.7109375" style="7" customWidth="1"/>
    <col min="15627" max="15627" width="40.85546875" style="7" customWidth="1"/>
    <col min="15628" max="15628" width="34.140625" style="7" customWidth="1"/>
    <col min="15629" max="15629" width="16" style="7" customWidth="1"/>
    <col min="15630" max="15630" width="15.7109375" style="7" customWidth="1"/>
    <col min="15631" max="15631" width="17.42578125" style="7" customWidth="1"/>
    <col min="15632" max="15632" width="10.7109375" style="7" customWidth="1"/>
    <col min="15633" max="15633" width="13" style="7" customWidth="1"/>
    <col min="15634" max="15634" width="16.7109375" style="7" customWidth="1"/>
    <col min="15635" max="15875" width="9.140625" style="7"/>
    <col min="15876" max="15876" width="35.5703125" style="7" customWidth="1"/>
    <col min="15877" max="15877" width="23" style="7" customWidth="1"/>
    <col min="15878" max="15878" width="17.7109375" style="7" customWidth="1"/>
    <col min="15879" max="15879" width="18.42578125" style="7" customWidth="1"/>
    <col min="15880" max="15881" width="13.140625" style="7" customWidth="1"/>
    <col min="15882" max="15882" width="10.7109375" style="7" customWidth="1"/>
    <col min="15883" max="15883" width="40.85546875" style="7" customWidth="1"/>
    <col min="15884" max="15884" width="34.140625" style="7" customWidth="1"/>
    <col min="15885" max="15885" width="16" style="7" customWidth="1"/>
    <col min="15886" max="15886" width="15.7109375" style="7" customWidth="1"/>
    <col min="15887" max="15887" width="17.42578125" style="7" customWidth="1"/>
    <col min="15888" max="15888" width="10.7109375" style="7" customWidth="1"/>
    <col min="15889" max="15889" width="13" style="7" customWidth="1"/>
    <col min="15890" max="15890" width="16.7109375" style="7" customWidth="1"/>
    <col min="15891" max="16131" width="9.140625" style="7"/>
    <col min="16132" max="16132" width="35.5703125" style="7" customWidth="1"/>
    <col min="16133" max="16133" width="23" style="7" customWidth="1"/>
    <col min="16134" max="16134" width="17.7109375" style="7" customWidth="1"/>
    <col min="16135" max="16135" width="18.42578125" style="7" customWidth="1"/>
    <col min="16136" max="16137" width="13.140625" style="7" customWidth="1"/>
    <col min="16138" max="16138" width="10.7109375" style="7" customWidth="1"/>
    <col min="16139" max="16139" width="40.85546875" style="7" customWidth="1"/>
    <col min="16140" max="16140" width="34.140625" style="7" customWidth="1"/>
    <col min="16141" max="16141" width="16" style="7" customWidth="1"/>
    <col min="16142" max="16142" width="15.7109375" style="7" customWidth="1"/>
    <col min="16143" max="16143" width="17.42578125" style="7" customWidth="1"/>
    <col min="16144" max="16144" width="10.7109375" style="7" customWidth="1"/>
    <col min="16145" max="16145" width="13" style="7" customWidth="1"/>
    <col min="16146" max="16146" width="16.7109375" style="7" customWidth="1"/>
    <col min="16147" max="16384" width="9.140625" style="7"/>
  </cols>
  <sheetData>
    <row r="2" spans="1:31" ht="57" customHeight="1" x14ac:dyDescent="0.25"/>
    <row r="3" spans="1:31" s="34" customFormat="1" ht="41.25" customHeight="1" x14ac:dyDescent="0.3">
      <c r="A3" s="524" t="s">
        <v>81</v>
      </c>
      <c r="B3" s="524"/>
      <c r="C3" s="524"/>
      <c r="D3" s="524"/>
      <c r="E3" s="524"/>
      <c r="F3" s="524"/>
      <c r="G3" s="524"/>
      <c r="H3" s="524"/>
      <c r="I3" s="524"/>
      <c r="J3" s="524"/>
      <c r="K3" s="524"/>
      <c r="L3" s="524"/>
      <c r="M3" s="524"/>
      <c r="N3" s="524"/>
      <c r="O3" s="524"/>
    </row>
    <row r="4" spans="1:31" s="34" customFormat="1" ht="24" customHeight="1" x14ac:dyDescent="0.3">
      <c r="A4" s="532" t="s">
        <v>354</v>
      </c>
      <c r="B4" s="532"/>
      <c r="C4" s="532"/>
      <c r="D4" s="532"/>
      <c r="E4" s="532"/>
      <c r="F4" s="532"/>
      <c r="G4" s="532"/>
      <c r="H4" s="532"/>
      <c r="I4" s="532"/>
      <c r="J4" s="532"/>
      <c r="K4" s="532"/>
      <c r="L4" s="532"/>
      <c r="M4" s="532"/>
      <c r="N4" s="532"/>
      <c r="O4" s="532"/>
    </row>
    <row r="5" spans="1:31" ht="23.25" customHeight="1" x14ac:dyDescent="0.3">
      <c r="A5" s="34"/>
      <c r="B5" s="34"/>
      <c r="C5" s="34"/>
      <c r="D5" s="34"/>
      <c r="E5" s="34"/>
      <c r="F5" s="34"/>
      <c r="G5" s="34"/>
      <c r="H5" s="34"/>
      <c r="I5" s="34"/>
      <c r="J5" s="34"/>
      <c r="K5" s="34"/>
      <c r="L5" s="34"/>
      <c r="M5" s="34"/>
      <c r="N5" s="34"/>
      <c r="O5" s="34"/>
    </row>
    <row r="6" spans="1:31" s="36" customFormat="1" ht="65.25" customHeight="1" x14ac:dyDescent="0.25">
      <c r="A6" s="525" t="s">
        <v>64</v>
      </c>
      <c r="B6" s="526" t="s">
        <v>65</v>
      </c>
      <c r="C6" s="526"/>
      <c r="D6" s="89" t="s">
        <v>336</v>
      </c>
      <c r="E6" s="161" t="s">
        <v>337</v>
      </c>
      <c r="F6" s="89" t="s">
        <v>70</v>
      </c>
      <c r="G6" s="90"/>
      <c r="H6" s="90"/>
      <c r="I6" s="90"/>
      <c r="J6" s="525" t="s">
        <v>64</v>
      </c>
      <c r="K6" s="526" t="s">
        <v>66</v>
      </c>
      <c r="L6" s="526"/>
      <c r="M6" s="89" t="s">
        <v>338</v>
      </c>
      <c r="N6" s="89" t="s">
        <v>339</v>
      </c>
      <c r="O6" s="89" t="s">
        <v>340</v>
      </c>
    </row>
    <row r="7" spans="1:31" s="36" customFormat="1" ht="37.9" customHeight="1" x14ac:dyDescent="0.25">
      <c r="A7" s="525"/>
      <c r="B7" s="527" t="s">
        <v>273</v>
      </c>
      <c r="C7" s="527"/>
      <c r="D7" s="281">
        <f>'Anexo 1. Usos e Fontes'!C11-'Anexo 1. Usos e Fontes'!C15-'Anexo 1. Usos e Fontes'!C18</f>
        <v>3459018</v>
      </c>
      <c r="E7" s="281">
        <f>'Anexo 1. Usos e Fontes'!F11-'Anexo 1. Usos e Fontes'!F15-'Anexo 1. Usos e Fontes'!F18</f>
        <v>2458176.4700000002</v>
      </c>
      <c r="F7" s="108">
        <f>IFERROR(E7/D7*100-100,0)</f>
        <v>-28.934267760387485</v>
      </c>
      <c r="G7" s="92" t="b">
        <f>D7=[2]FORM.3!E6</f>
        <v>1</v>
      </c>
      <c r="H7" s="280"/>
      <c r="I7" s="92"/>
      <c r="J7" s="525"/>
      <c r="K7" s="528" t="s">
        <v>87</v>
      </c>
      <c r="L7" s="528"/>
      <c r="M7" s="288">
        <v>1618009.2400000002</v>
      </c>
      <c r="N7" s="289">
        <f>'Anexo 3. Elemento de Despesas'!G44</f>
        <v>1381316.9100000001</v>
      </c>
      <c r="O7" s="94">
        <f>IFERROR(N7/M7*100-100,0)</f>
        <v>-14.628614234613408</v>
      </c>
      <c r="P7" s="292"/>
      <c r="Q7" s="293"/>
      <c r="R7" s="30"/>
      <c r="S7" s="30"/>
      <c r="T7" s="30"/>
      <c r="U7" s="30"/>
      <c r="V7" s="30"/>
      <c r="W7" s="30"/>
      <c r="X7" s="30"/>
      <c r="Y7" s="30"/>
    </row>
    <row r="8" spans="1:31" s="36" customFormat="1" ht="38.450000000000003" customHeight="1" x14ac:dyDescent="0.25">
      <c r="A8" s="525"/>
      <c r="B8" s="529" t="s">
        <v>67</v>
      </c>
      <c r="C8" s="529"/>
      <c r="D8" s="281">
        <f>'Anexo 1. Usos e Fontes'!C23</f>
        <v>0</v>
      </c>
      <c r="E8" s="281">
        <f>'Anexo 1. Usos e Fontes'!F23</f>
        <v>0</v>
      </c>
      <c r="F8" s="108">
        <f>IFERROR(E8/D8*100-100,0)</f>
        <v>0</v>
      </c>
      <c r="G8" s="92" t="b">
        <f>D8=[2]FORM.3!E7</f>
        <v>1</v>
      </c>
      <c r="H8" s="92"/>
      <c r="I8" s="92"/>
      <c r="J8" s="525"/>
      <c r="K8" s="528" t="s">
        <v>82</v>
      </c>
      <c r="L8" s="528"/>
      <c r="M8" s="290">
        <v>201262.8</v>
      </c>
      <c r="N8" s="290">
        <v>150408</v>
      </c>
      <c r="O8" s="94">
        <f t="shared" ref="O8:O9" si="0">IFERROR(N8/M8*100-100,0)</f>
        <v>-25.267858739916164</v>
      </c>
      <c r="Q8" s="292"/>
    </row>
    <row r="9" spans="1:31" s="36" customFormat="1" ht="39" customHeight="1" x14ac:dyDescent="0.25">
      <c r="A9" s="525"/>
      <c r="B9" s="530" t="s">
        <v>83</v>
      </c>
      <c r="C9" s="530"/>
      <c r="D9" s="282">
        <f>SUM(D7:D8)</f>
        <v>3459018</v>
      </c>
      <c r="E9" s="282">
        <f>SUM(E7:E8)</f>
        <v>2458176.4700000002</v>
      </c>
      <c r="F9" s="95">
        <f>IFERROR(E9/D9*100-100,0)</f>
        <v>-28.934267760387485</v>
      </c>
      <c r="G9" s="92" t="b">
        <f>D9=[2]FORM.3!E8</f>
        <v>1</v>
      </c>
      <c r="H9" s="92"/>
      <c r="I9" s="92"/>
      <c r="J9" s="525"/>
      <c r="K9" s="528" t="s">
        <v>84</v>
      </c>
      <c r="L9" s="528"/>
      <c r="M9" s="291">
        <f>'Anexo 1. Usos e Fontes'!C10</f>
        <v>3788372.24</v>
      </c>
      <c r="N9" s="289">
        <f>'Anexo 1. Usos e Fontes'!F10</f>
        <v>2866289.87</v>
      </c>
      <c r="O9" s="94">
        <f t="shared" si="0"/>
        <v>-24.339803788658315</v>
      </c>
    </row>
    <row r="10" spans="1:31" s="36" customFormat="1" ht="38.25" customHeight="1" x14ac:dyDescent="0.25">
      <c r="A10" s="525"/>
      <c r="B10" s="529" t="s">
        <v>85</v>
      </c>
      <c r="C10" s="529"/>
      <c r="D10" s="283">
        <f>'Anexo 1. Usos e Fontes'!C33</f>
        <v>70882</v>
      </c>
      <c r="E10" s="283">
        <f>'Anexo 1. Usos e Fontes'!F33</f>
        <v>44301.369999999995</v>
      </c>
      <c r="F10" s="91">
        <f>IFERROR(E10/D10*100-100,0)</f>
        <v>-37.499830704551229</v>
      </c>
      <c r="G10" s="92" t="b">
        <f>D10=[2]FORM.3!E9</f>
        <v>1</v>
      </c>
      <c r="H10" s="280"/>
      <c r="I10" s="92"/>
      <c r="J10" s="531"/>
      <c r="K10" s="531"/>
      <c r="L10" s="90"/>
      <c r="M10" s="96"/>
      <c r="N10" s="222">
        <f>'Anexo 1. Usos e Fontes'!F10</f>
        <v>2866289.87</v>
      </c>
      <c r="O10" s="222"/>
      <c r="Q10" s="224"/>
      <c r="R10" s="225"/>
    </row>
    <row r="11" spans="1:31" s="36" customFormat="1" ht="28.15" customHeight="1" x14ac:dyDescent="0.25">
      <c r="A11" s="525"/>
      <c r="B11" s="533" t="s">
        <v>105</v>
      </c>
      <c r="C11" s="533"/>
      <c r="D11" s="282">
        <f>D9-D10</f>
        <v>3388136</v>
      </c>
      <c r="E11" s="282">
        <f>E9-E10</f>
        <v>2413875.1</v>
      </c>
      <c r="F11" s="95">
        <f>IFERROR(E11/D11*100-100,0)</f>
        <v>-28.755070634708886</v>
      </c>
      <c r="G11" s="92" t="b">
        <f>D11=[2]FORM.3!E10</f>
        <v>1</v>
      </c>
      <c r="H11" s="320"/>
      <c r="I11" s="92"/>
      <c r="J11" s="99"/>
      <c r="K11" s="99"/>
      <c r="L11" s="90"/>
      <c r="M11" s="97"/>
      <c r="N11" s="100" t="b">
        <f>N9=N10</f>
        <v>1</v>
      </c>
      <c r="O11" s="97"/>
      <c r="Q11" s="40"/>
      <c r="R11" s="40"/>
    </row>
    <row r="12" spans="1:31" s="39" customFormat="1" ht="18.75" x14ac:dyDescent="0.25">
      <c r="A12" s="101"/>
      <c r="B12" s="102"/>
      <c r="C12" s="102"/>
      <c r="D12" s="98"/>
      <c r="E12" s="98"/>
      <c r="F12" s="97"/>
      <c r="G12" s="92"/>
      <c r="H12" s="98"/>
      <c r="I12" s="98"/>
      <c r="J12" s="99"/>
      <c r="K12" s="99"/>
      <c r="L12" s="90"/>
      <c r="M12" s="97"/>
      <c r="N12" s="100"/>
      <c r="O12" s="97"/>
      <c r="P12" s="36"/>
      <c r="Q12" s="38"/>
      <c r="R12" s="38"/>
    </row>
    <row r="13" spans="1:31" s="36" customFormat="1" ht="50.1" customHeight="1" x14ac:dyDescent="0.25">
      <c r="A13" s="525" t="s">
        <v>93</v>
      </c>
      <c r="B13" s="526" t="s">
        <v>71</v>
      </c>
      <c r="C13" s="526"/>
      <c r="D13" s="89" t="s">
        <v>336</v>
      </c>
      <c r="E13" s="89" t="s">
        <v>337</v>
      </c>
      <c r="F13" s="89" t="s">
        <v>4</v>
      </c>
      <c r="G13" s="92"/>
      <c r="H13" s="98"/>
      <c r="I13" s="98"/>
      <c r="J13" s="526" t="s">
        <v>71</v>
      </c>
      <c r="K13" s="526"/>
      <c r="L13" s="526"/>
      <c r="M13" s="89" t="s">
        <v>211</v>
      </c>
      <c r="N13" s="89" t="s">
        <v>304</v>
      </c>
      <c r="O13" s="89" t="s">
        <v>94</v>
      </c>
      <c r="Q13" s="40"/>
      <c r="R13" s="40"/>
    </row>
    <row r="14" spans="1:31" s="36" customFormat="1" ht="39" customHeight="1" x14ac:dyDescent="0.25">
      <c r="A14" s="525"/>
      <c r="B14" s="534" t="s">
        <v>274</v>
      </c>
      <c r="C14" s="103" t="s">
        <v>68</v>
      </c>
      <c r="D14" s="284">
        <f>'Quadro Geral'!J17+'Quadro Geral'!J33+'Quadro Geral'!J35</f>
        <v>591000.23</v>
      </c>
      <c r="E14" s="284">
        <f>'Quadro Geral'!M17+'Quadro Geral'!M33+'Quadro Geral'!M35</f>
        <v>388982.28</v>
      </c>
      <c r="F14" s="91">
        <f>IFERROR(E14/D14*100-100,)</f>
        <v>-34.182380944251065</v>
      </c>
      <c r="G14" s="92" t="b">
        <f>D14=[2]FORM.3!E13</f>
        <v>1</v>
      </c>
      <c r="H14" s="285"/>
      <c r="I14" s="98"/>
      <c r="J14" s="534" t="s">
        <v>117</v>
      </c>
      <c r="K14" s="534"/>
      <c r="L14" s="103" t="s">
        <v>68</v>
      </c>
      <c r="M14" s="104">
        <f>(M7-M8)</f>
        <v>1416746.4400000002</v>
      </c>
      <c r="N14" s="104">
        <f>(N7-N8)</f>
        <v>1230908.9100000001</v>
      </c>
      <c r="O14" s="94">
        <f>IFERROR(N14/M14*100-100,0)</f>
        <v>-13.117204656607427</v>
      </c>
      <c r="Q14" s="294"/>
      <c r="R14" s="41"/>
      <c r="S14" s="41"/>
      <c r="T14" s="41"/>
      <c r="U14" s="41"/>
      <c r="V14" s="41"/>
      <c r="W14" s="41"/>
      <c r="X14" s="41"/>
      <c r="Y14" s="41"/>
      <c r="Z14" s="41"/>
      <c r="AA14" s="41"/>
      <c r="AB14" s="41"/>
      <c r="AC14" s="41"/>
      <c r="AD14" s="41"/>
      <c r="AE14" s="41"/>
    </row>
    <row r="15" spans="1:31" s="36" customFormat="1" ht="39" customHeight="1" x14ac:dyDescent="0.25">
      <c r="A15" s="525"/>
      <c r="B15" s="534"/>
      <c r="C15" s="105" t="s">
        <v>69</v>
      </c>
      <c r="D15" s="106">
        <f>IFERROR(D14/$D$11,0)</f>
        <v>0.17443226304965326</v>
      </c>
      <c r="E15" s="106">
        <f>IFERROR(E14/$E$11,0)</f>
        <v>0.16114432764147574</v>
      </c>
      <c r="F15" s="94">
        <f>(E15-D15)*100</f>
        <v>-1.328793540817752</v>
      </c>
      <c r="G15" s="92" t="b">
        <f>D15=[2]FORM.3!E14</f>
        <v>1</v>
      </c>
      <c r="H15" s="92"/>
      <c r="I15" s="98"/>
      <c r="J15" s="534"/>
      <c r="K15" s="534"/>
      <c r="L15" s="105" t="s">
        <v>69</v>
      </c>
      <c r="M15" s="107">
        <f>IFERROR(M14/M9,)</f>
        <v>0.37397234227436954</v>
      </c>
      <c r="N15" s="107">
        <f>IFERROR(N14/N9,)</f>
        <v>0.4294432753934968</v>
      </c>
      <c r="O15" s="94">
        <f>(N15-M15)*100</f>
        <v>5.5470933119127261</v>
      </c>
      <c r="Q15" s="226"/>
      <c r="R15" s="41"/>
      <c r="S15" s="41"/>
      <c r="T15" s="41"/>
      <c r="U15" s="41"/>
      <c r="V15" s="41"/>
      <c r="W15" s="41"/>
      <c r="X15" s="41"/>
      <c r="Y15" s="41"/>
      <c r="Z15" s="41"/>
      <c r="AA15" s="41"/>
      <c r="AB15" s="41"/>
      <c r="AC15" s="41"/>
      <c r="AD15" s="41"/>
      <c r="AE15" s="41"/>
    </row>
    <row r="16" spans="1:31" s="36" customFormat="1" ht="39" customHeight="1" x14ac:dyDescent="0.25">
      <c r="A16" s="525"/>
      <c r="B16" s="534" t="s">
        <v>118</v>
      </c>
      <c r="C16" s="103" t="s">
        <v>68</v>
      </c>
      <c r="D16" s="284">
        <f>'Quadro Geral'!J11+'Quadro Geral'!J24+'Quadro Geral'!J30+'Quadro Geral'!J34</f>
        <v>814926.69000000006</v>
      </c>
      <c r="E16" s="284">
        <f>'Quadro Geral'!M11+'Quadro Geral'!M24+'Quadro Geral'!M30+'Quadro Geral'!M34</f>
        <v>573283.26</v>
      </c>
      <c r="F16" s="91">
        <f>IFERROR(E16/D16*100-100,)</f>
        <v>-29.652167853282606</v>
      </c>
      <c r="G16" s="92" t="b">
        <f>D16=[2]FORM.3!E15</f>
        <v>1</v>
      </c>
      <c r="H16" s="285"/>
      <c r="I16" s="98"/>
      <c r="J16" s="534" t="s">
        <v>119</v>
      </c>
      <c r="K16" s="534"/>
      <c r="L16" s="103" t="s">
        <v>68</v>
      </c>
      <c r="M16" s="93">
        <v>33000</v>
      </c>
      <c r="N16" s="93">
        <v>20000</v>
      </c>
      <c r="O16" s="94">
        <f>IFERROR(N16/M16*100-100,0)</f>
        <v>-39.393939393939391</v>
      </c>
    </row>
    <row r="17" spans="1:17" s="36" customFormat="1" ht="39" customHeight="1" x14ac:dyDescent="0.25">
      <c r="A17" s="525"/>
      <c r="B17" s="534"/>
      <c r="C17" s="105" t="s">
        <v>69</v>
      </c>
      <c r="D17" s="106">
        <f>IFERROR(D16/$D$11,0)</f>
        <v>0.24052360649041243</v>
      </c>
      <c r="E17" s="106">
        <f>IFERROR(E16/$E$11,0)</f>
        <v>0.2374949971520896</v>
      </c>
      <c r="F17" s="94">
        <f>(E17-D17)*100</f>
        <v>-0.30286093383228296</v>
      </c>
      <c r="G17" s="92" t="b">
        <f>D17=[2]FORM.3!E16</f>
        <v>1</v>
      </c>
      <c r="H17" s="92"/>
      <c r="I17" s="98"/>
      <c r="J17" s="534"/>
      <c r="K17" s="534"/>
      <c r="L17" s="105" t="s">
        <v>69</v>
      </c>
      <c r="M17" s="107">
        <f>IFERROR(M16/M7,)</f>
        <v>2.0395433588500395E-2</v>
      </c>
      <c r="N17" s="107">
        <f>IFERROR(N16/N7,)</f>
        <v>1.4478936625774022E-2</v>
      </c>
      <c r="O17" s="94">
        <f>(N17-M17)*100</f>
        <v>-0.5916496962726373</v>
      </c>
      <c r="Q17" s="227"/>
    </row>
    <row r="18" spans="1:17" s="36" customFormat="1" ht="39" customHeight="1" x14ac:dyDescent="0.3">
      <c r="A18" s="525"/>
      <c r="B18" s="534" t="s">
        <v>120</v>
      </c>
      <c r="C18" s="103" t="s">
        <v>68</v>
      </c>
      <c r="D18" s="284">
        <f>'Quadro Geral'!J9+'Quadro Geral'!J23+'Quadro Geral'!J27</f>
        <v>427515.73</v>
      </c>
      <c r="E18" s="284">
        <f>'Quadro Geral'!M9+'Quadro Geral'!M23+'Quadro Geral'!M27</f>
        <v>280528.24</v>
      </c>
      <c r="F18" s="91">
        <f>IFERROR(E18/D18*100-100,)</f>
        <v>-34.381773508076535</v>
      </c>
      <c r="G18" s="92" t="b">
        <f>D18=[2]FORM.3!E17</f>
        <v>1</v>
      </c>
      <c r="H18" s="285"/>
      <c r="I18" s="98"/>
      <c r="J18" s="34"/>
      <c r="K18" s="34"/>
      <c r="L18" s="34"/>
      <c r="M18" s="34"/>
      <c r="N18" s="34"/>
      <c r="O18" s="34"/>
      <c r="P18" s="37"/>
    </row>
    <row r="19" spans="1:17" s="36" customFormat="1" ht="39" customHeight="1" x14ac:dyDescent="0.3">
      <c r="A19" s="525"/>
      <c r="B19" s="534"/>
      <c r="C19" s="105" t="s">
        <v>69</v>
      </c>
      <c r="D19" s="106">
        <f>IFERROR(D18/$D$11,0)</f>
        <v>0.12618021531603218</v>
      </c>
      <c r="E19" s="106">
        <f>IFERROR(E18/$E$11,0)</f>
        <v>0.11621489446574927</v>
      </c>
      <c r="F19" s="94">
        <f>(E19-D19)*100</f>
        <v>-0.99653208502829127</v>
      </c>
      <c r="G19" s="92" t="b">
        <f>D19=[2]FORM.3!E18</f>
        <v>1</v>
      </c>
      <c r="H19" s="92"/>
      <c r="I19" s="98"/>
      <c r="J19" s="535" t="s">
        <v>388</v>
      </c>
      <c r="K19" s="535"/>
      <c r="L19" s="535"/>
      <c r="M19" s="535"/>
      <c r="N19" s="535"/>
      <c r="O19" s="193"/>
    </row>
    <row r="20" spans="1:17" s="36" customFormat="1" ht="39" customHeight="1" x14ac:dyDescent="0.3">
      <c r="A20" s="525"/>
      <c r="B20" s="534" t="s">
        <v>121</v>
      </c>
      <c r="C20" s="103" t="s">
        <v>68</v>
      </c>
      <c r="D20" s="287">
        <f>'Quadro Geral'!J25</f>
        <v>55000</v>
      </c>
      <c r="E20" s="287">
        <f>'Quadro Geral'!M25</f>
        <v>40000</v>
      </c>
      <c r="F20" s="91">
        <f>IFERROR(E20/D20*100-100,)</f>
        <v>-27.272727272727266</v>
      </c>
      <c r="G20" s="92" t="b">
        <f>D20=[2]FORM.3!E19</f>
        <v>1</v>
      </c>
      <c r="H20" s="286"/>
      <c r="I20" s="194"/>
      <c r="J20" s="535"/>
      <c r="K20" s="535"/>
      <c r="L20" s="535"/>
      <c r="M20" s="535"/>
      <c r="N20" s="535"/>
      <c r="O20" s="34"/>
    </row>
    <row r="21" spans="1:17" s="36" customFormat="1" ht="39" customHeight="1" x14ac:dyDescent="0.3">
      <c r="A21" s="525"/>
      <c r="B21" s="534"/>
      <c r="C21" s="105" t="s">
        <v>69</v>
      </c>
      <c r="D21" s="106">
        <f>IFERROR(D20/$D$11,0)</f>
        <v>1.6233114609330912E-2</v>
      </c>
      <c r="E21" s="106">
        <f>IFERROR(E20/$E$11,0)</f>
        <v>1.6570865659122129E-2</v>
      </c>
      <c r="F21" s="94">
        <f>(E21-D21)*100</f>
        <v>3.3775104979121701E-2</v>
      </c>
      <c r="G21" s="92" t="b">
        <f>D21=[2]FORM.3!E20</f>
        <v>1</v>
      </c>
      <c r="H21" s="92"/>
      <c r="I21" s="98"/>
      <c r="J21" s="535"/>
      <c r="K21" s="535"/>
      <c r="L21" s="535"/>
      <c r="M21" s="535"/>
      <c r="N21" s="535"/>
      <c r="O21" s="34"/>
    </row>
    <row r="22" spans="1:17" s="36" customFormat="1" ht="39" customHeight="1" x14ac:dyDescent="0.3">
      <c r="A22" s="525"/>
      <c r="B22" s="534" t="s">
        <v>125</v>
      </c>
      <c r="C22" s="103" t="s">
        <v>68</v>
      </c>
      <c r="D22" s="284">
        <f>'Quadro Geral'!J12+'Quadro Geral'!J15+'Quadro Geral'!J19</f>
        <v>314531.86</v>
      </c>
      <c r="E22" s="284">
        <f>'Quadro Geral'!M12+'Quadro Geral'!M15+'Quadro Geral'!M19</f>
        <v>104643.9</v>
      </c>
      <c r="F22" s="91">
        <f>IFERROR(E22/D22*100-100,)</f>
        <v>-66.730270186301638</v>
      </c>
      <c r="G22" s="92" t="b">
        <f>D22=[2]FORM.3!E21</f>
        <v>1</v>
      </c>
      <c r="H22" s="285"/>
      <c r="I22" s="98"/>
      <c r="J22" s="535"/>
      <c r="K22" s="535"/>
      <c r="L22" s="535"/>
      <c r="M22" s="535"/>
      <c r="N22" s="535"/>
      <c r="O22" s="34"/>
    </row>
    <row r="23" spans="1:17" s="36" customFormat="1" ht="39" customHeight="1" x14ac:dyDescent="0.3">
      <c r="A23" s="525"/>
      <c r="B23" s="534"/>
      <c r="C23" s="105" t="s">
        <v>69</v>
      </c>
      <c r="D23" s="106">
        <f>IFERROR(D22/$D$11,0)</f>
        <v>9.2833304212109544E-2</v>
      </c>
      <c r="E23" s="106">
        <f>IFERROR(E22/$E$11,0)</f>
        <v>4.3351000223665254E-2</v>
      </c>
      <c r="F23" s="94">
        <f>(E23-D23)*100</f>
        <v>-4.9482303988444292</v>
      </c>
      <c r="G23" s="92" t="b">
        <f>D23=[2]FORM.3!E22</f>
        <v>1</v>
      </c>
      <c r="H23" s="92"/>
      <c r="I23" s="98"/>
      <c r="J23" s="535"/>
      <c r="K23" s="535"/>
      <c r="L23" s="535"/>
      <c r="M23" s="535"/>
      <c r="N23" s="535"/>
      <c r="O23" s="34"/>
    </row>
    <row r="24" spans="1:17" s="36" customFormat="1" ht="39" customHeight="1" x14ac:dyDescent="0.3">
      <c r="A24" s="525"/>
      <c r="B24" s="534" t="s">
        <v>122</v>
      </c>
      <c r="C24" s="103" t="s">
        <v>68</v>
      </c>
      <c r="D24" s="284">
        <f>'Quadro Geral'!J29</f>
        <v>76000</v>
      </c>
      <c r="E24" s="284">
        <f>'Quadro Geral'!M29</f>
        <v>100000</v>
      </c>
      <c r="F24" s="91">
        <f>IFERROR(E24/D24*100-100,)</f>
        <v>31.578947368421069</v>
      </c>
      <c r="G24" s="92" t="b">
        <f>D24=[2]FORM.3!E23</f>
        <v>1</v>
      </c>
      <c r="H24" s="285"/>
      <c r="I24" s="98"/>
      <c r="J24" s="535"/>
      <c r="K24" s="535"/>
      <c r="L24" s="535"/>
      <c r="M24" s="535"/>
      <c r="N24" s="535"/>
      <c r="O24" s="34"/>
    </row>
    <row r="25" spans="1:17" s="36" customFormat="1" ht="39" customHeight="1" x14ac:dyDescent="0.3">
      <c r="A25" s="525"/>
      <c r="B25" s="534"/>
      <c r="C25" s="105" t="s">
        <v>69</v>
      </c>
      <c r="D25" s="106">
        <f>IFERROR(D24/$D$11,0)</f>
        <v>2.2431212914711805E-2</v>
      </c>
      <c r="E25" s="106">
        <f>IFERROR(E24/$E$11,0)</f>
        <v>4.1427164147805326E-2</v>
      </c>
      <c r="F25" s="94">
        <f>(E25-D25)*100</f>
        <v>1.899595123309352</v>
      </c>
      <c r="G25" s="92" t="b">
        <f>D25=[2]FORM.3!E24</f>
        <v>1</v>
      </c>
      <c r="H25" s="92"/>
      <c r="I25" s="98"/>
      <c r="J25" s="34"/>
      <c r="K25" s="34"/>
      <c r="L25" s="34"/>
      <c r="M25" s="34"/>
      <c r="N25" s="34"/>
      <c r="O25" s="34"/>
    </row>
    <row r="26" spans="1:17" s="36" customFormat="1" ht="39" customHeight="1" x14ac:dyDescent="0.3">
      <c r="A26" s="525"/>
      <c r="B26" s="534" t="s">
        <v>123</v>
      </c>
      <c r="C26" s="103" t="s">
        <v>68</v>
      </c>
      <c r="D26" s="284">
        <f>'Quadro Geral'!J36</f>
        <v>10000</v>
      </c>
      <c r="E26" s="284">
        <f>'Quadro Geral'!M36</f>
        <v>30000</v>
      </c>
      <c r="F26" s="91">
        <f>IFERROR(E26/D26*100-100,)</f>
        <v>200</v>
      </c>
      <c r="G26" s="92" t="b">
        <f>D26=[2]FORM.3!E25</f>
        <v>1</v>
      </c>
      <c r="H26" s="285"/>
      <c r="I26" s="98"/>
      <c r="J26" s="34"/>
      <c r="K26" s="34"/>
      <c r="L26" s="34"/>
      <c r="M26" s="34"/>
      <c r="N26" s="34"/>
      <c r="O26" s="34"/>
    </row>
    <row r="27" spans="1:17" s="36" customFormat="1" ht="39" customHeight="1" x14ac:dyDescent="0.3">
      <c r="A27" s="525"/>
      <c r="B27" s="534"/>
      <c r="C27" s="105" t="s">
        <v>69</v>
      </c>
      <c r="D27" s="106">
        <f>IFERROR(D26/$D$11,0)</f>
        <v>2.9514753835147112E-3</v>
      </c>
      <c r="E27" s="106">
        <f>IFERROR(E26/$E$11,0)</f>
        <v>1.2428149244341598E-2</v>
      </c>
      <c r="F27" s="94">
        <f>(E27-D27)*100</f>
        <v>0.94766738608268875</v>
      </c>
      <c r="G27" s="92" t="b">
        <f>D27=[2]FORM.3!E26</f>
        <v>1</v>
      </c>
      <c r="H27" s="92"/>
      <c r="I27" s="98"/>
      <c r="J27" s="34"/>
      <c r="K27" s="34"/>
      <c r="L27" s="34"/>
      <c r="M27" s="34"/>
      <c r="N27" s="34"/>
      <c r="O27" s="34"/>
    </row>
    <row r="28" spans="1:17" ht="19.5" thickBot="1" x14ac:dyDescent="0.35">
      <c r="A28" s="34"/>
      <c r="B28" s="35"/>
      <c r="C28" s="34"/>
      <c r="D28" s="34"/>
      <c r="E28" s="34"/>
      <c r="F28" s="34"/>
      <c r="G28" s="34"/>
      <c r="H28" s="34"/>
      <c r="I28" s="34"/>
      <c r="J28" s="34"/>
      <c r="K28" s="34"/>
      <c r="L28" s="34"/>
      <c r="M28" s="34"/>
      <c r="N28" s="34"/>
      <c r="O28" s="34"/>
    </row>
    <row r="29" spans="1:17" ht="27" customHeight="1" thickBot="1" x14ac:dyDescent="0.3">
      <c r="A29" s="498" t="s">
        <v>89</v>
      </c>
      <c r="B29" s="499"/>
      <c r="C29" s="499"/>
      <c r="D29" s="499"/>
      <c r="E29" s="499"/>
      <c r="F29" s="499"/>
      <c r="G29" s="499"/>
      <c r="H29" s="499"/>
      <c r="I29" s="499"/>
      <c r="J29" s="499"/>
      <c r="K29" s="499"/>
      <c r="L29" s="499"/>
      <c r="M29" s="499"/>
      <c r="N29" s="499"/>
      <c r="O29" s="500"/>
    </row>
    <row r="30" spans="1:17" ht="24.75" customHeight="1" thickBot="1" x14ac:dyDescent="0.3">
      <c r="A30" s="521" t="s">
        <v>685</v>
      </c>
      <c r="B30" s="522"/>
      <c r="C30" s="522"/>
      <c r="D30" s="522"/>
      <c r="E30" s="522"/>
      <c r="F30" s="522"/>
      <c r="G30" s="522"/>
      <c r="H30" s="522"/>
      <c r="I30" s="522"/>
      <c r="J30" s="522"/>
      <c r="K30" s="522"/>
      <c r="L30" s="522"/>
      <c r="M30" s="522"/>
      <c r="N30" s="522"/>
      <c r="O30" s="523"/>
    </row>
    <row r="31" spans="1:17" ht="409.5" customHeight="1" thickBot="1" x14ac:dyDescent="0.3">
      <c r="A31" s="518" t="s">
        <v>706</v>
      </c>
      <c r="B31" s="519"/>
      <c r="C31" s="519"/>
      <c r="D31" s="519"/>
      <c r="E31" s="519"/>
      <c r="F31" s="519"/>
      <c r="G31" s="519"/>
      <c r="H31" s="519"/>
      <c r="I31" s="519"/>
      <c r="J31" s="519"/>
      <c r="K31" s="519"/>
      <c r="L31" s="519"/>
      <c r="M31" s="519"/>
      <c r="N31" s="519"/>
      <c r="O31" s="520"/>
    </row>
    <row r="32" spans="1:17" ht="18.75" x14ac:dyDescent="0.3">
      <c r="A32" s="34"/>
      <c r="B32" s="34"/>
      <c r="C32" s="34"/>
      <c r="D32" s="34"/>
      <c r="E32" s="34"/>
      <c r="F32" s="34"/>
      <c r="G32" s="34"/>
      <c r="H32" s="34"/>
      <c r="I32" s="34"/>
      <c r="J32" s="34"/>
      <c r="K32" s="34"/>
      <c r="L32" s="34"/>
      <c r="M32" s="34"/>
      <c r="N32" s="34"/>
      <c r="O32" s="34"/>
    </row>
    <row r="33" ht="187.5" customHeight="1" x14ac:dyDescent="0.25"/>
  </sheetData>
  <sheetProtection selectLockedCells="1"/>
  <mergeCells count="31">
    <mergeCell ref="B11:C11"/>
    <mergeCell ref="A29:O29"/>
    <mergeCell ref="A13:A27"/>
    <mergeCell ref="J16:K17"/>
    <mergeCell ref="B18:B19"/>
    <mergeCell ref="J19:N24"/>
    <mergeCell ref="B24:B25"/>
    <mergeCell ref="B22:B23"/>
    <mergeCell ref="B26:B27"/>
    <mergeCell ref="B13:C13"/>
    <mergeCell ref="J13:L13"/>
    <mergeCell ref="B14:B15"/>
    <mergeCell ref="J14:K15"/>
    <mergeCell ref="B16:B17"/>
    <mergeCell ref="B20:B21"/>
    <mergeCell ref="A31:O31"/>
    <mergeCell ref="A30:O30"/>
    <mergeCell ref="A3:O3"/>
    <mergeCell ref="A6:A11"/>
    <mergeCell ref="B6:C6"/>
    <mergeCell ref="J6:J9"/>
    <mergeCell ref="K6:L6"/>
    <mergeCell ref="B7:C7"/>
    <mergeCell ref="K7:L7"/>
    <mergeCell ref="B8:C8"/>
    <mergeCell ref="K8:L8"/>
    <mergeCell ref="B9:C9"/>
    <mergeCell ref="K9:L9"/>
    <mergeCell ref="B10:C10"/>
    <mergeCell ref="J10:K10"/>
    <mergeCell ref="A4:O4"/>
  </mergeCells>
  <pageMargins left="0.51181102362204722" right="0.51181102362204722" top="0.35433070866141736" bottom="0.78740157480314965" header="0.31496062992125984" footer="0.31496062992125984"/>
  <pageSetup paperSize="9" scale="40" fitToHeight="0" orientation="landscape" r:id="rId1"/>
  <ignoredErrors>
    <ignoredError sqref="D16:E16 D18:E18 D20:E20 E22 D24:E24 D26:E26" formula="1"/>
  </ignoredError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8"/>
  <dimension ref="A5:AC58"/>
  <sheetViews>
    <sheetView showGridLines="0" view="pageBreakPreview" topLeftCell="A25" zoomScale="60" zoomScaleNormal="80" workbookViewId="0">
      <selection activeCell="T13" sqref="T13"/>
    </sheetView>
  </sheetViews>
  <sheetFormatPr defaultColWidth="8.85546875" defaultRowHeight="15" x14ac:dyDescent="0.25"/>
  <cols>
    <col min="1" max="1" width="22.42578125" customWidth="1"/>
    <col min="2" max="3" width="8.7109375" style="8" customWidth="1"/>
    <col min="4" max="4" width="30.28515625" customWidth="1"/>
    <col min="5" max="5" width="19.85546875" customWidth="1"/>
    <col min="6" max="6" width="1.85546875" customWidth="1"/>
    <col min="7" max="7" width="17.42578125" customWidth="1"/>
    <col min="8" max="8" width="12.85546875" bestFit="1" customWidth="1"/>
    <col min="9" max="9" width="12.85546875" customWidth="1"/>
    <col min="10" max="10" width="14.85546875" customWidth="1"/>
    <col min="11" max="11" width="16.140625" customWidth="1"/>
    <col min="12" max="12" width="20.5703125" customWidth="1"/>
    <col min="13" max="13" width="18" customWidth="1"/>
    <col min="14" max="14" width="20.5703125" style="134" customWidth="1"/>
    <col min="15" max="15" width="13" customWidth="1"/>
    <col min="16" max="16" width="18" customWidth="1"/>
    <col min="17" max="17" width="17.85546875" customWidth="1"/>
    <col min="18" max="18" width="17.7109375" customWidth="1"/>
    <col min="19" max="19" width="9.42578125" customWidth="1"/>
    <col min="20" max="20" width="16.140625" bestFit="1" customWidth="1"/>
    <col min="21" max="21" width="12.7109375" bestFit="1" customWidth="1"/>
    <col min="22" max="22" width="16.140625" bestFit="1" customWidth="1"/>
  </cols>
  <sheetData>
    <row r="5" spans="1:29" ht="21.75" customHeight="1" x14ac:dyDescent="0.25">
      <c r="A5" s="557" t="s">
        <v>73</v>
      </c>
      <c r="B5" s="557"/>
      <c r="C5" s="557"/>
      <c r="D5" s="557"/>
      <c r="E5" s="557"/>
      <c r="F5" s="557"/>
      <c r="G5" s="557"/>
      <c r="H5" s="557"/>
      <c r="I5" s="557"/>
      <c r="J5" s="557"/>
      <c r="K5" s="557"/>
      <c r="L5" s="557"/>
      <c r="M5" s="557"/>
      <c r="N5" s="557"/>
      <c r="O5" s="557"/>
      <c r="P5" s="557"/>
      <c r="Q5" s="557"/>
      <c r="R5" s="557"/>
      <c r="S5" s="557"/>
      <c r="V5" s="9"/>
      <c r="W5" s="10"/>
    </row>
    <row r="6" spans="1:29" s="11" customFormat="1" ht="26.25" customHeight="1" x14ac:dyDescent="0.25">
      <c r="A6" s="562" t="s">
        <v>379</v>
      </c>
      <c r="B6" s="563"/>
      <c r="C6" s="563"/>
      <c r="D6" s="563"/>
      <c r="E6" s="563"/>
      <c r="F6" s="563"/>
      <c r="G6" s="564"/>
      <c r="H6" s="564"/>
      <c r="I6" s="564"/>
      <c r="J6" s="564"/>
      <c r="K6" s="564"/>
      <c r="L6" s="564"/>
      <c r="M6" s="564"/>
      <c r="N6" s="564"/>
      <c r="O6" s="564"/>
      <c r="P6" s="564"/>
      <c r="Q6" s="564"/>
      <c r="R6" s="564"/>
      <c r="S6" s="565"/>
      <c r="V6" s="12"/>
      <c r="W6" s="13"/>
    </row>
    <row r="7" spans="1:29" x14ac:dyDescent="0.25">
      <c r="A7" s="5"/>
      <c r="B7" s="60"/>
      <c r="C7" s="60"/>
      <c r="D7" s="5"/>
      <c r="E7" s="5"/>
      <c r="F7" s="5"/>
    </row>
    <row r="8" spans="1:29" s="15" customFormat="1" ht="18.75" hidden="1" x14ac:dyDescent="0.3">
      <c r="A8" s="55"/>
      <c r="B8" s="33"/>
      <c r="C8" s="33"/>
      <c r="D8" s="32"/>
      <c r="E8" s="56"/>
      <c r="F8" s="14"/>
      <c r="G8" s="14"/>
      <c r="H8" s="14"/>
      <c r="I8" s="14"/>
      <c r="J8" s="14"/>
      <c r="K8" s="14"/>
      <c r="L8" s="14"/>
      <c r="M8" s="14"/>
      <c r="N8" s="135"/>
      <c r="O8" s="14"/>
      <c r="P8" s="14"/>
      <c r="Q8" s="14"/>
      <c r="R8" s="14"/>
      <c r="S8" s="14"/>
      <c r="V8" s="16"/>
      <c r="W8" s="17"/>
    </row>
    <row r="9" spans="1:29" s="18" customFormat="1" ht="27" customHeight="1" x14ac:dyDescent="0.3">
      <c r="A9" s="561" t="s">
        <v>14</v>
      </c>
      <c r="B9" s="558" t="s">
        <v>295</v>
      </c>
      <c r="C9" s="558" t="s">
        <v>53</v>
      </c>
      <c r="D9" s="558" t="s">
        <v>54</v>
      </c>
      <c r="E9" s="558" t="s">
        <v>304</v>
      </c>
      <c r="F9" s="57"/>
      <c r="G9" s="560" t="s">
        <v>2</v>
      </c>
      <c r="H9" s="560"/>
      <c r="I9" s="558" t="s">
        <v>55</v>
      </c>
      <c r="J9" s="549" t="s">
        <v>56</v>
      </c>
      <c r="K9" s="550"/>
      <c r="L9" s="550"/>
      <c r="M9" s="551" t="s">
        <v>270</v>
      </c>
      <c r="N9" s="551" t="s">
        <v>290</v>
      </c>
      <c r="O9" s="559" t="s">
        <v>57</v>
      </c>
      <c r="P9" s="559" t="s">
        <v>58</v>
      </c>
      <c r="Q9" s="558" t="s">
        <v>3</v>
      </c>
      <c r="R9" s="560" t="s">
        <v>0</v>
      </c>
      <c r="S9" s="560" t="s">
        <v>59</v>
      </c>
      <c r="T9" s="556"/>
      <c r="V9" s="16"/>
      <c r="W9" s="19"/>
    </row>
    <row r="10" spans="1:29" s="18" customFormat="1" ht="40.15" customHeight="1" x14ac:dyDescent="0.25">
      <c r="A10" s="561"/>
      <c r="B10" s="558"/>
      <c r="C10" s="558"/>
      <c r="D10" s="558"/>
      <c r="E10" s="558"/>
      <c r="F10" s="58"/>
      <c r="G10" s="74" t="s">
        <v>86</v>
      </c>
      <c r="H10" s="74" t="s">
        <v>60</v>
      </c>
      <c r="I10" s="558"/>
      <c r="J10" s="74" t="s">
        <v>60</v>
      </c>
      <c r="K10" s="74" t="s">
        <v>61</v>
      </c>
      <c r="L10" s="74" t="s">
        <v>62</v>
      </c>
      <c r="M10" s="552"/>
      <c r="N10" s="552"/>
      <c r="O10" s="559"/>
      <c r="P10" s="559"/>
      <c r="Q10" s="558"/>
      <c r="R10" s="560"/>
      <c r="S10" s="560"/>
      <c r="T10" s="556"/>
      <c r="U10" s="548"/>
      <c r="V10" s="548"/>
      <c r="W10" s="548"/>
      <c r="X10" s="548"/>
      <c r="Y10" s="548"/>
      <c r="Z10" s="548"/>
      <c r="AA10" s="548"/>
      <c r="AB10" s="548"/>
      <c r="AC10" s="548"/>
    </row>
    <row r="11" spans="1:29" s="14" customFormat="1" ht="56.25" x14ac:dyDescent="0.3">
      <c r="A11" s="26" t="str">
        <f>'Quadro Geral'!A9</f>
        <v>Presidência</v>
      </c>
      <c r="B11" s="27" t="str">
        <f>'Quadro Geral'!B9</f>
        <v>A</v>
      </c>
      <c r="C11" s="28">
        <f>'Quadro Geral'!D9</f>
        <v>0</v>
      </c>
      <c r="D11" s="29" t="str">
        <f>'Quadro Geral'!E9</f>
        <v>Articulação Institucional e fomento de parcerias estratégicas.</v>
      </c>
      <c r="E11" s="295">
        <f>'Quadro Geral'!M9</f>
        <v>80528.239999999991</v>
      </c>
      <c r="F11" s="296"/>
      <c r="G11" s="297">
        <v>66528.240000000005</v>
      </c>
      <c r="H11" s="298"/>
      <c r="I11" s="298"/>
      <c r="J11" s="298">
        <v>7000</v>
      </c>
      <c r="K11" s="298">
        <v>7000</v>
      </c>
      <c r="L11" s="298"/>
      <c r="M11" s="298"/>
      <c r="N11" s="298"/>
      <c r="O11" s="298"/>
      <c r="P11" s="299">
        <f>SUM(G11:O11)</f>
        <v>80528.240000000005</v>
      </c>
      <c r="Q11" s="298"/>
      <c r="R11" s="299">
        <f>P11+Q11</f>
        <v>80528.240000000005</v>
      </c>
      <c r="S11" s="25">
        <f>IFERROR(R11/$R$44*100,0)</f>
        <v>1.4840386696850016</v>
      </c>
      <c r="T11" s="304"/>
      <c r="U11" s="20"/>
    </row>
    <row r="12" spans="1:29" s="14" customFormat="1" ht="18.75" x14ac:dyDescent="0.3">
      <c r="A12" s="26" t="str">
        <f>'Quadro Geral'!A10</f>
        <v>Direção Geral</v>
      </c>
      <c r="B12" s="27" t="str">
        <f>'Quadro Geral'!B10</f>
        <v>A</v>
      </c>
      <c r="C12" s="28">
        <f>'Quadro Geral'!D10</f>
        <v>0</v>
      </c>
      <c r="D12" s="29" t="str">
        <f>'Quadro Geral'!E10</f>
        <v>Manutenção Institucional</v>
      </c>
      <c r="E12" s="295">
        <f>'Quadro Geral'!M10</f>
        <v>618171.96</v>
      </c>
      <c r="F12" s="296"/>
      <c r="G12" s="297">
        <v>246880.46</v>
      </c>
      <c r="H12" s="298"/>
      <c r="I12" s="298">
        <v>6224</v>
      </c>
      <c r="J12" s="298"/>
      <c r="K12" s="298"/>
      <c r="L12" s="298">
        <v>365067.5</v>
      </c>
      <c r="M12" s="298"/>
      <c r="N12" s="298"/>
      <c r="O12" s="298"/>
      <c r="P12" s="299">
        <f t="shared" ref="P12:P42" si="0">SUM(G12:O12)</f>
        <v>618171.96</v>
      </c>
      <c r="Q12" s="298"/>
      <c r="R12" s="299">
        <f t="shared" ref="R12:R43" si="1">P12+Q12</f>
        <v>618171.96</v>
      </c>
      <c r="S12" s="25">
        <f t="shared" ref="S12:S43" si="2">IFERROR(R12/$R$44*100,0)</f>
        <v>11.39216619107744</v>
      </c>
      <c r="T12" s="304"/>
      <c r="U12" s="20"/>
    </row>
    <row r="13" spans="1:29" s="14" customFormat="1" ht="93.75" x14ac:dyDescent="0.3">
      <c r="A13" s="26" t="str">
        <f>'Quadro Geral'!A11</f>
        <v>Gerência Técnica</v>
      </c>
      <c r="B13" s="27" t="str">
        <f>'Quadro Geral'!B11</f>
        <v>A</v>
      </c>
      <c r="C13" s="28">
        <f>'Quadro Geral'!D11</f>
        <v>0</v>
      </c>
      <c r="D13" s="29" t="str">
        <f>'Quadro Geral'!E11</f>
        <v>Orientação, esclarecimento e atendimento de demandas de profissionais e empresas</v>
      </c>
      <c r="E13" s="295">
        <f>'Quadro Geral'!M11</f>
        <v>230754.22</v>
      </c>
      <c r="F13" s="296"/>
      <c r="G13" s="297">
        <v>219454.22</v>
      </c>
      <c r="H13" s="298"/>
      <c r="I13" s="298"/>
      <c r="J13" s="298"/>
      <c r="K13" s="298"/>
      <c r="L13" s="298">
        <v>11300</v>
      </c>
      <c r="M13" s="298"/>
      <c r="N13" s="298"/>
      <c r="O13" s="298"/>
      <c r="P13" s="299">
        <f t="shared" si="0"/>
        <v>230754.22</v>
      </c>
      <c r="Q13" s="298"/>
      <c r="R13" s="299">
        <f t="shared" si="1"/>
        <v>230754.22</v>
      </c>
      <c r="S13" s="25">
        <f t="shared" si="2"/>
        <v>4.2525229121237489</v>
      </c>
      <c r="T13" s="304"/>
      <c r="U13" s="20"/>
    </row>
    <row r="14" spans="1:29" s="14" customFormat="1" ht="56.25" x14ac:dyDescent="0.3">
      <c r="A14" s="26" t="str">
        <f>'Quadro Geral'!A12</f>
        <v>Gerência de Operações</v>
      </c>
      <c r="B14" s="27" t="str">
        <f>'Quadro Geral'!B12</f>
        <v>A</v>
      </c>
      <c r="C14" s="28">
        <f>'Quadro Geral'!D12</f>
        <v>0</v>
      </c>
      <c r="D14" s="29" t="str">
        <f>'Quadro Geral'!E12</f>
        <v>Operacionalização dos processos éticos e de multa/fiscalização</v>
      </c>
      <c r="E14" s="295">
        <f>'Quadro Geral'!M12</f>
        <v>24153.65</v>
      </c>
      <c r="F14" s="296"/>
      <c r="G14" s="300">
        <v>24153.65</v>
      </c>
      <c r="H14" s="298"/>
      <c r="I14" s="298"/>
      <c r="J14" s="298"/>
      <c r="K14" s="298"/>
      <c r="L14" s="298"/>
      <c r="M14" s="298"/>
      <c r="N14" s="298"/>
      <c r="O14" s="298"/>
      <c r="P14" s="299">
        <f t="shared" si="0"/>
        <v>24153.65</v>
      </c>
      <c r="Q14" s="298"/>
      <c r="R14" s="299">
        <f t="shared" si="1"/>
        <v>24153.65</v>
      </c>
      <c r="S14" s="25">
        <f t="shared" si="2"/>
        <v>0.4451227372414589</v>
      </c>
      <c r="T14" s="304"/>
      <c r="U14" s="20"/>
    </row>
    <row r="15" spans="1:29" s="14" customFormat="1" ht="37.5" x14ac:dyDescent="0.3">
      <c r="A15" s="26" t="str">
        <f>'Quadro Geral'!A13</f>
        <v>Gerência Adm. Financeira</v>
      </c>
      <c r="B15" s="27" t="str">
        <f>'Quadro Geral'!B13</f>
        <v>A</v>
      </c>
      <c r="C15" s="28">
        <f>'Quadro Geral'!D13</f>
        <v>0</v>
      </c>
      <c r="D15" s="29" t="str">
        <f>'Quadro Geral'!E13</f>
        <v>Manutenção Administrativa financeira</v>
      </c>
      <c r="E15" s="295">
        <f>'Quadro Geral'!M13</f>
        <v>462956.35</v>
      </c>
      <c r="F15" s="296"/>
      <c r="G15" s="297">
        <v>153664.23000000001</v>
      </c>
      <c r="H15" s="298"/>
      <c r="I15" s="298"/>
      <c r="J15" s="298"/>
      <c r="K15" s="298"/>
      <c r="L15" s="298">
        <f>265784.77+43507.35</f>
        <v>309292.12</v>
      </c>
      <c r="M15" s="298"/>
      <c r="N15" s="298"/>
      <c r="O15" s="298"/>
      <c r="P15" s="299">
        <f t="shared" si="0"/>
        <v>462956.35</v>
      </c>
      <c r="Q15" s="298"/>
      <c r="R15" s="299">
        <f t="shared" si="1"/>
        <v>462956.35</v>
      </c>
      <c r="S15" s="25">
        <f t="shared" si="2"/>
        <v>8.5317290651853792</v>
      </c>
      <c r="T15" s="304"/>
      <c r="U15" s="20"/>
    </row>
    <row r="16" spans="1:29" s="14" customFormat="1" ht="37.5" x14ac:dyDescent="0.3">
      <c r="A16" s="26" t="str">
        <f>'Quadro Geral'!A14</f>
        <v>Assessoria Jurídica</v>
      </c>
      <c r="B16" s="27" t="str">
        <f>'Quadro Geral'!B14</f>
        <v>A</v>
      </c>
      <c r="C16" s="28">
        <f>'Quadro Geral'!D14</f>
        <v>0</v>
      </c>
      <c r="D16" s="29" t="str">
        <f>'Quadro Geral'!E14</f>
        <v>Consultoria e Assessoria Jurídica</v>
      </c>
      <c r="E16" s="295">
        <f>'Quadro Geral'!M14</f>
        <v>166048.83000000002</v>
      </c>
      <c r="F16" s="296"/>
      <c r="G16" s="297">
        <v>151986.63</v>
      </c>
      <c r="H16" s="298"/>
      <c r="I16" s="298"/>
      <c r="J16" s="298"/>
      <c r="K16" s="298"/>
      <c r="L16" s="298">
        <v>14062.2</v>
      </c>
      <c r="M16" s="298"/>
      <c r="N16" s="298"/>
      <c r="O16" s="298"/>
      <c r="P16" s="299">
        <f t="shared" si="0"/>
        <v>166048.83000000002</v>
      </c>
      <c r="Q16" s="298"/>
      <c r="R16" s="299">
        <f t="shared" si="1"/>
        <v>166048.83000000002</v>
      </c>
      <c r="S16" s="25">
        <f t="shared" si="2"/>
        <v>3.0600803491539241</v>
      </c>
      <c r="T16" s="304"/>
      <c r="U16" s="20"/>
    </row>
    <row r="17" spans="1:21" s="14" customFormat="1" ht="56.25" x14ac:dyDescent="0.3">
      <c r="A17" s="26" t="str">
        <f>'Quadro Geral'!A15</f>
        <v>Comissão de Ética</v>
      </c>
      <c r="B17" s="27" t="str">
        <f>'Quadro Geral'!B15</f>
        <v>A</v>
      </c>
      <c r="C17" s="28">
        <f>'Quadro Geral'!D15</f>
        <v>0</v>
      </c>
      <c r="D17" s="29" t="str">
        <f>'Quadro Geral'!E15</f>
        <v>Operacionalização e processamento dos  processos éticos</v>
      </c>
      <c r="E17" s="295">
        <f>'Quadro Geral'!M15</f>
        <v>79372.899999999994</v>
      </c>
      <c r="F17" s="296"/>
      <c r="G17" s="297">
        <v>67372.899999999994</v>
      </c>
      <c r="H17" s="298"/>
      <c r="I17" s="298"/>
      <c r="J17" s="298">
        <v>5000</v>
      </c>
      <c r="K17" s="298">
        <v>7000</v>
      </c>
      <c r="L17" s="298"/>
      <c r="M17" s="298"/>
      <c r="N17" s="298"/>
      <c r="O17" s="298"/>
      <c r="P17" s="299">
        <f t="shared" si="0"/>
        <v>79372.899999999994</v>
      </c>
      <c r="Q17" s="298"/>
      <c r="R17" s="299">
        <f t="shared" si="1"/>
        <v>79372.899999999994</v>
      </c>
      <c r="S17" s="25">
        <f t="shared" si="2"/>
        <v>1.4627471421831726</v>
      </c>
      <c r="T17" s="304"/>
      <c r="U17" s="20"/>
    </row>
    <row r="18" spans="1:21" s="14" customFormat="1" ht="56.25" x14ac:dyDescent="0.3">
      <c r="A18" s="26" t="str">
        <f>'Quadro Geral'!A16</f>
        <v>Comissão de Atos Administrativos</v>
      </c>
      <c r="B18" s="27" t="str">
        <f>'Quadro Geral'!B16</f>
        <v>A</v>
      </c>
      <c r="C18" s="28">
        <f>'Quadro Geral'!D16</f>
        <v>0</v>
      </c>
      <c r="D18" s="29" t="str">
        <f>'Quadro Geral'!E16</f>
        <v>Assessoramento organizacional-institucional</v>
      </c>
      <c r="E18" s="295">
        <f>'Quadro Geral'!M16</f>
        <v>1213.05</v>
      </c>
      <c r="F18" s="296"/>
      <c r="G18" s="297"/>
      <c r="H18" s="298"/>
      <c r="I18" s="298"/>
      <c r="J18" s="298">
        <v>218.88</v>
      </c>
      <c r="K18" s="298">
        <v>994.17</v>
      </c>
      <c r="L18" s="298"/>
      <c r="M18" s="298"/>
      <c r="N18" s="298"/>
      <c r="O18" s="298"/>
      <c r="P18" s="299">
        <f t="shared" si="0"/>
        <v>1213.05</v>
      </c>
      <c r="Q18" s="298"/>
      <c r="R18" s="299">
        <f t="shared" si="1"/>
        <v>1213.05</v>
      </c>
      <c r="S18" s="25">
        <f t="shared" si="2"/>
        <v>2.2355053435433224E-2</v>
      </c>
      <c r="T18" s="304"/>
      <c r="U18" s="20"/>
    </row>
    <row r="19" spans="1:21" s="14" customFormat="1" ht="75" x14ac:dyDescent="0.3">
      <c r="A19" s="26" t="str">
        <f>'Quadro Geral'!A17</f>
        <v>Comissão de Exercício Profissional e Fiscalização</v>
      </c>
      <c r="B19" s="27" t="str">
        <f>'Quadro Geral'!B17</f>
        <v>A</v>
      </c>
      <c r="C19" s="28">
        <f>'Quadro Geral'!D17</f>
        <v>0</v>
      </c>
      <c r="D19" s="29" t="str">
        <f>'Quadro Geral'!E17</f>
        <v>Operacionalização da Fiscalização e fomento da valorização profissional</v>
      </c>
      <c r="E19" s="295">
        <f>'Quadro Geral'!M17</f>
        <v>1390.26</v>
      </c>
      <c r="F19" s="296"/>
      <c r="G19" s="297"/>
      <c r="H19" s="298"/>
      <c r="I19" s="298"/>
      <c r="J19" s="298">
        <v>1114.8800000000001</v>
      </c>
      <c r="K19" s="298">
        <v>275.38</v>
      </c>
      <c r="L19" s="298"/>
      <c r="M19" s="298"/>
      <c r="N19" s="298"/>
      <c r="O19" s="298"/>
      <c r="P19" s="299">
        <f t="shared" si="0"/>
        <v>1390.2600000000002</v>
      </c>
      <c r="Q19" s="298"/>
      <c r="R19" s="299">
        <f t="shared" si="1"/>
        <v>1390.2600000000002</v>
      </c>
      <c r="S19" s="25">
        <f t="shared" si="2"/>
        <v>2.5620820732158937E-2</v>
      </c>
      <c r="T19" s="304"/>
      <c r="U19" s="20"/>
    </row>
    <row r="20" spans="1:21" s="14" customFormat="1" ht="56.25" x14ac:dyDescent="0.3">
      <c r="A20" s="26" t="str">
        <f>'Quadro Geral'!A18</f>
        <v>Comissão de Planejamento e Finanças</v>
      </c>
      <c r="B20" s="27" t="str">
        <f>'Quadro Geral'!B18</f>
        <v>A</v>
      </c>
      <c r="C20" s="28">
        <f>'Quadro Geral'!D18</f>
        <v>0</v>
      </c>
      <c r="D20" s="29" t="str">
        <f>'Quadro Geral'!E18</f>
        <v>Operacionalização, Planejamento e Controle do CAU</v>
      </c>
      <c r="E20" s="295">
        <f>'Quadro Geral'!M18</f>
        <v>1140.6300000000001</v>
      </c>
      <c r="F20" s="296"/>
      <c r="G20" s="297"/>
      <c r="H20" s="298"/>
      <c r="I20" s="298"/>
      <c r="J20" s="298">
        <v>865.25</v>
      </c>
      <c r="K20" s="298">
        <v>275.38</v>
      </c>
      <c r="L20" s="298"/>
      <c r="M20" s="298"/>
      <c r="N20" s="298"/>
      <c r="O20" s="298"/>
      <c r="P20" s="299">
        <f t="shared" si="0"/>
        <v>1140.6300000000001</v>
      </c>
      <c r="Q20" s="298"/>
      <c r="R20" s="299">
        <f t="shared" si="1"/>
        <v>1140.6300000000001</v>
      </c>
      <c r="S20" s="25">
        <f t="shared" si="2"/>
        <v>2.1020439882987674E-2</v>
      </c>
      <c r="T20" s="304"/>
      <c r="U20" s="20"/>
    </row>
    <row r="21" spans="1:21" s="14" customFormat="1" ht="56.25" x14ac:dyDescent="0.3">
      <c r="A21" s="26" t="str">
        <f>'Quadro Geral'!A19</f>
        <v>Comissão de Ensino</v>
      </c>
      <c r="B21" s="27" t="str">
        <f>'Quadro Geral'!B19</f>
        <v>A</v>
      </c>
      <c r="C21" s="28">
        <f>'Quadro Geral'!D19</f>
        <v>0</v>
      </c>
      <c r="D21" s="29" t="str">
        <f>'Quadro Geral'!E19</f>
        <v>Fomento ao aperfeiçoamento e à formação profissional</v>
      </c>
      <c r="E21" s="295">
        <f>'Quadro Geral'!M19</f>
        <v>1117.3499999999999</v>
      </c>
      <c r="F21" s="296"/>
      <c r="G21" s="297"/>
      <c r="H21" s="298"/>
      <c r="I21" s="298"/>
      <c r="J21" s="298">
        <v>826.14</v>
      </c>
      <c r="K21" s="298">
        <v>291.20999999999998</v>
      </c>
      <c r="L21" s="298"/>
      <c r="M21" s="298"/>
      <c r="N21" s="298"/>
      <c r="O21" s="298"/>
      <c r="P21" s="299">
        <f t="shared" si="0"/>
        <v>1117.3499999999999</v>
      </c>
      <c r="Q21" s="298"/>
      <c r="R21" s="299">
        <f t="shared" si="1"/>
        <v>1117.3499999999999</v>
      </c>
      <c r="S21" s="25">
        <f t="shared" si="2"/>
        <v>2.0591417465134421E-2</v>
      </c>
      <c r="T21" s="304"/>
      <c r="U21" s="20"/>
    </row>
    <row r="22" spans="1:21" s="14" customFormat="1" ht="75" x14ac:dyDescent="0.3">
      <c r="A22" s="26" t="str">
        <f>'Quadro Geral'!A20</f>
        <v>Comissão Especial de Política Profissional</v>
      </c>
      <c r="B22" s="27" t="str">
        <f>'Quadro Geral'!B20</f>
        <v>A</v>
      </c>
      <c r="C22" s="28">
        <f>'Quadro Geral'!D20</f>
        <v>0</v>
      </c>
      <c r="D22" s="29" t="str">
        <f>'Quadro Geral'!E20</f>
        <v>Fomento a ações que buscam promover melhorias da prática profissional</v>
      </c>
      <c r="E22" s="295">
        <f>'Quadro Geral'!M20</f>
        <v>0</v>
      </c>
      <c r="F22" s="296"/>
      <c r="G22" s="297"/>
      <c r="H22" s="298"/>
      <c r="I22" s="298"/>
      <c r="J22" s="298"/>
      <c r="K22" s="298"/>
      <c r="L22" s="298"/>
      <c r="M22" s="298"/>
      <c r="N22" s="298"/>
      <c r="O22" s="298"/>
      <c r="P22" s="299">
        <f t="shared" si="0"/>
        <v>0</v>
      </c>
      <c r="Q22" s="298"/>
      <c r="R22" s="299">
        <f t="shared" si="1"/>
        <v>0</v>
      </c>
      <c r="S22" s="25">
        <f t="shared" si="2"/>
        <v>0</v>
      </c>
      <c r="T22" s="304"/>
      <c r="U22" s="20"/>
    </row>
    <row r="23" spans="1:21" s="14" customFormat="1" ht="75" x14ac:dyDescent="0.3">
      <c r="A23" s="26" t="str">
        <f>'Quadro Geral'!A21</f>
        <v>Comissão Especial Política Urbana</v>
      </c>
      <c r="B23" s="27" t="str">
        <f>'Quadro Geral'!B21</f>
        <v>A</v>
      </c>
      <c r="C23" s="28">
        <f>'Quadro Geral'!D21</f>
        <v>0</v>
      </c>
      <c r="D23" s="29" t="str">
        <f>'Quadro Geral'!E21</f>
        <v>Fomento a ações que buscam promover melhorias da política urbana estadual</v>
      </c>
      <c r="E23" s="295">
        <f>'Quadro Geral'!M21</f>
        <v>0</v>
      </c>
      <c r="F23" s="296"/>
      <c r="G23" s="297"/>
      <c r="H23" s="298"/>
      <c r="I23" s="298"/>
      <c r="J23" s="298"/>
      <c r="K23" s="298"/>
      <c r="L23" s="298"/>
      <c r="M23" s="298"/>
      <c r="N23" s="298"/>
      <c r="O23" s="298"/>
      <c r="P23" s="299">
        <f t="shared" si="0"/>
        <v>0</v>
      </c>
      <c r="Q23" s="298"/>
      <c r="R23" s="299">
        <f t="shared" si="1"/>
        <v>0</v>
      </c>
      <c r="S23" s="25">
        <f t="shared" si="2"/>
        <v>0</v>
      </c>
      <c r="T23" s="304"/>
      <c r="U23" s="20"/>
    </row>
    <row r="24" spans="1:21" s="14" customFormat="1" ht="56.25" x14ac:dyDescent="0.3">
      <c r="A24" s="26" t="str">
        <f>'Quadro Geral'!A22</f>
        <v>Plenária</v>
      </c>
      <c r="B24" s="27" t="str">
        <f>'Quadro Geral'!B22</f>
        <v>A</v>
      </c>
      <c r="C24" s="28">
        <f>'Quadro Geral'!D22</f>
        <v>0</v>
      </c>
      <c r="D24" s="29" t="str">
        <f>'Quadro Geral'!E22</f>
        <v>Operacionalização das reuniões institucionais regimentais</v>
      </c>
      <c r="E24" s="295">
        <f>'Quadro Geral'!M22</f>
        <v>25020</v>
      </c>
      <c r="F24" s="296"/>
      <c r="G24" s="297"/>
      <c r="H24" s="298"/>
      <c r="I24" s="298"/>
      <c r="J24" s="298">
        <v>10000</v>
      </c>
      <c r="K24" s="298">
        <v>15020</v>
      </c>
      <c r="L24" s="298"/>
      <c r="M24" s="298"/>
      <c r="N24" s="298"/>
      <c r="O24" s="298"/>
      <c r="P24" s="299">
        <f t="shared" si="0"/>
        <v>25020</v>
      </c>
      <c r="Q24" s="298"/>
      <c r="R24" s="299">
        <f t="shared" si="1"/>
        <v>25020</v>
      </c>
      <c r="S24" s="25">
        <f t="shared" si="2"/>
        <v>0.46108852640413767</v>
      </c>
      <c r="T24" s="304"/>
      <c r="U24" s="20"/>
    </row>
    <row r="25" spans="1:21" s="14" customFormat="1" ht="23.25" customHeight="1" x14ac:dyDescent="0.3">
      <c r="A25" s="26" t="str">
        <f>'Quadro Geral'!A23</f>
        <v>Presidência</v>
      </c>
      <c r="B25" s="27" t="str">
        <f>'Quadro Geral'!B23</f>
        <v>P</v>
      </c>
      <c r="C25" s="28">
        <f>'Quadro Geral'!D23</f>
        <v>0</v>
      </c>
      <c r="D25" s="29" t="str">
        <f>'Quadro Geral'!E23</f>
        <v>Dia do Arquiteto</v>
      </c>
      <c r="E25" s="295">
        <f>'Quadro Geral'!M23</f>
        <v>50000</v>
      </c>
      <c r="F25" s="296"/>
      <c r="G25" s="297"/>
      <c r="H25" s="298"/>
      <c r="I25" s="298"/>
      <c r="J25" s="298"/>
      <c r="K25" s="298"/>
      <c r="L25" s="298">
        <v>50000</v>
      </c>
      <c r="M25" s="298"/>
      <c r="N25" s="298"/>
      <c r="O25" s="298"/>
      <c r="P25" s="299">
        <f t="shared" si="0"/>
        <v>50000</v>
      </c>
      <c r="Q25" s="298"/>
      <c r="R25" s="299">
        <f t="shared" si="1"/>
        <v>50000</v>
      </c>
      <c r="S25" s="25">
        <f t="shared" si="2"/>
        <v>0.92143990088756533</v>
      </c>
      <c r="T25" s="304"/>
      <c r="U25" s="20"/>
    </row>
    <row r="26" spans="1:21" s="14" customFormat="1" ht="37.5" x14ac:dyDescent="0.3">
      <c r="A26" s="26" t="str">
        <f>'Quadro Geral'!A24</f>
        <v>Direção Geral</v>
      </c>
      <c r="B26" s="27" t="str">
        <f>'Quadro Geral'!B24</f>
        <v>P</v>
      </c>
      <c r="C26" s="28">
        <f>'Quadro Geral'!D24</f>
        <v>0</v>
      </c>
      <c r="D26" s="29" t="str">
        <f>'Quadro Geral'!E24</f>
        <v>APC - Aperfeiçoamento Profissional Continuado</v>
      </c>
      <c r="E26" s="295">
        <f>'Quadro Geral'!M24</f>
        <v>40000</v>
      </c>
      <c r="F26" s="296"/>
      <c r="G26" s="297"/>
      <c r="H26" s="298"/>
      <c r="I26" s="298"/>
      <c r="J26" s="298"/>
      <c r="K26" s="298"/>
      <c r="L26" s="298">
        <v>40000</v>
      </c>
      <c r="M26" s="298"/>
      <c r="N26" s="298"/>
      <c r="O26" s="298"/>
      <c r="P26" s="299">
        <f t="shared" si="0"/>
        <v>40000</v>
      </c>
      <c r="Q26" s="298"/>
      <c r="R26" s="299">
        <f t="shared" si="1"/>
        <v>40000</v>
      </c>
      <c r="S26" s="25">
        <f t="shared" si="2"/>
        <v>0.7371519207100522</v>
      </c>
      <c r="T26" s="304"/>
      <c r="U26" s="20"/>
    </row>
    <row r="27" spans="1:21" s="14" customFormat="1" ht="23.25" customHeight="1" x14ac:dyDescent="0.3">
      <c r="A27" s="26" t="str">
        <f>'Quadro Geral'!A25</f>
        <v>Presidência</v>
      </c>
      <c r="B27" s="27" t="str">
        <f>'Quadro Geral'!B25</f>
        <v>P</v>
      </c>
      <c r="C27" s="28">
        <f>'Quadro Geral'!D25</f>
        <v>0</v>
      </c>
      <c r="D27" s="29" t="str">
        <f>'Quadro Geral'!E25</f>
        <v>Patrocínio</v>
      </c>
      <c r="E27" s="295">
        <f>'Quadro Geral'!M25</f>
        <v>40000</v>
      </c>
      <c r="F27" s="296"/>
      <c r="G27" s="297"/>
      <c r="H27" s="298"/>
      <c r="I27" s="298"/>
      <c r="J27" s="298"/>
      <c r="K27" s="298"/>
      <c r="L27" s="319">
        <v>40000</v>
      </c>
      <c r="M27" s="298"/>
      <c r="N27" s="298"/>
      <c r="O27" s="298"/>
      <c r="P27" s="299">
        <f t="shared" si="0"/>
        <v>40000</v>
      </c>
      <c r="Q27" s="298"/>
      <c r="R27" s="299">
        <f t="shared" si="1"/>
        <v>40000</v>
      </c>
      <c r="S27" s="25">
        <f t="shared" si="2"/>
        <v>0.7371519207100522</v>
      </c>
      <c r="T27" s="304"/>
      <c r="U27" s="20"/>
    </row>
    <row r="28" spans="1:21" s="14" customFormat="1" ht="37.5" x14ac:dyDescent="0.3">
      <c r="A28" s="26" t="str">
        <f>'Quadro Geral'!A26</f>
        <v>Gerência Adm. Financeira</v>
      </c>
      <c r="B28" s="27" t="str">
        <f>'Quadro Geral'!B26</f>
        <v>A</v>
      </c>
      <c r="C28" s="28">
        <f>'Quadro Geral'!D26</f>
        <v>0</v>
      </c>
      <c r="D28" s="29" t="str">
        <f>'Quadro Geral'!E26</f>
        <v>Aporte ao Fundo de Apoio</v>
      </c>
      <c r="E28" s="295">
        <f>'Quadro Geral'!M26</f>
        <v>44301.369999999995</v>
      </c>
      <c r="F28" s="296"/>
      <c r="G28" s="297"/>
      <c r="H28" s="298"/>
      <c r="I28" s="298"/>
      <c r="J28" s="298"/>
      <c r="K28" s="298"/>
      <c r="L28" s="298"/>
      <c r="M28" s="298">
        <v>44301.37</v>
      </c>
      <c r="N28" s="298"/>
      <c r="O28" s="298"/>
      <c r="P28" s="299">
        <f t="shared" si="0"/>
        <v>44301.37</v>
      </c>
      <c r="Q28" s="298"/>
      <c r="R28" s="299">
        <f t="shared" si="1"/>
        <v>44301.37</v>
      </c>
      <c r="S28" s="25">
        <f t="shared" si="2"/>
        <v>0.81642099963966719</v>
      </c>
      <c r="T28" s="304"/>
      <c r="U28" s="20"/>
    </row>
    <row r="29" spans="1:21" s="14" customFormat="1" ht="37.5" x14ac:dyDescent="0.3">
      <c r="A29" s="26" t="str">
        <f>'Quadro Geral'!A27</f>
        <v>Direção Geral</v>
      </c>
      <c r="B29" s="27" t="str">
        <f>'Quadro Geral'!B27</f>
        <v>P</v>
      </c>
      <c r="C29" s="28">
        <f>'Quadro Geral'!D27</f>
        <v>0</v>
      </c>
      <c r="D29" s="29" t="str">
        <f>'Quadro Geral'!E27</f>
        <v>Comunicação Institucional</v>
      </c>
      <c r="E29" s="295">
        <f>'Quadro Geral'!M27</f>
        <v>150000</v>
      </c>
      <c r="F29" s="296"/>
      <c r="G29" s="297"/>
      <c r="H29" s="298"/>
      <c r="I29" s="298"/>
      <c r="J29" s="298"/>
      <c r="K29" s="298"/>
      <c r="L29" s="298">
        <v>150000</v>
      </c>
      <c r="M29" s="298"/>
      <c r="N29" s="298"/>
      <c r="O29" s="298"/>
      <c r="P29" s="299">
        <f t="shared" si="0"/>
        <v>150000</v>
      </c>
      <c r="Q29" s="298"/>
      <c r="R29" s="299">
        <f t="shared" si="1"/>
        <v>150000</v>
      </c>
      <c r="S29" s="25">
        <f t="shared" si="2"/>
        <v>2.7643197026626964</v>
      </c>
      <c r="T29" s="304"/>
      <c r="U29" s="20"/>
    </row>
    <row r="30" spans="1:21" s="14" customFormat="1" ht="37.5" x14ac:dyDescent="0.3">
      <c r="A30" s="26" t="str">
        <f>'Quadro Geral'!A28</f>
        <v>Direção Geral</v>
      </c>
      <c r="B30" s="27" t="str">
        <f>'Quadro Geral'!B28</f>
        <v>A</v>
      </c>
      <c r="C30" s="28">
        <f>'Quadro Geral'!D28</f>
        <v>0</v>
      </c>
      <c r="D30" s="29" t="str">
        <f>'Quadro Geral'!E28</f>
        <v>Programa de Capacitação dos Colaboradores</v>
      </c>
      <c r="E30" s="295">
        <f>'Quadro Geral'!M28</f>
        <v>20000</v>
      </c>
      <c r="F30" s="296"/>
      <c r="G30" s="297"/>
      <c r="H30" s="298"/>
      <c r="I30" s="298"/>
      <c r="J30" s="298"/>
      <c r="K30" s="298"/>
      <c r="L30" s="298">
        <v>20000</v>
      </c>
      <c r="M30" s="298"/>
      <c r="N30" s="298"/>
      <c r="O30" s="298"/>
      <c r="P30" s="299">
        <f t="shared" si="0"/>
        <v>20000</v>
      </c>
      <c r="Q30" s="298"/>
      <c r="R30" s="299">
        <f t="shared" si="1"/>
        <v>20000</v>
      </c>
      <c r="S30" s="25">
        <f t="shared" si="2"/>
        <v>0.3685759603550261</v>
      </c>
      <c r="T30" s="304"/>
      <c r="U30" s="20"/>
    </row>
    <row r="31" spans="1:21" s="14" customFormat="1" ht="56.25" x14ac:dyDescent="0.3">
      <c r="A31" s="26" t="str">
        <f>'Quadro Geral'!A29</f>
        <v>Comissão de Assistência Técnica</v>
      </c>
      <c r="B31" s="27" t="str">
        <f>'Quadro Geral'!B29</f>
        <v>P</v>
      </c>
      <c r="C31" s="28">
        <f>'Quadro Geral'!D29</f>
        <v>0</v>
      </c>
      <c r="D31" s="29" t="str">
        <f>'Quadro Geral'!E29</f>
        <v>Programa de Assistência Técnica</v>
      </c>
      <c r="E31" s="295">
        <f>'Quadro Geral'!M29</f>
        <v>100000</v>
      </c>
      <c r="F31" s="296"/>
      <c r="G31" s="297"/>
      <c r="H31" s="298"/>
      <c r="I31" s="298"/>
      <c r="J31" s="298"/>
      <c r="K31" s="298"/>
      <c r="L31" s="298">
        <v>100000</v>
      </c>
      <c r="M31" s="298"/>
      <c r="N31" s="298"/>
      <c r="O31" s="298"/>
      <c r="P31" s="299">
        <f t="shared" si="0"/>
        <v>100000</v>
      </c>
      <c r="Q31" s="298"/>
      <c r="R31" s="299">
        <f t="shared" si="1"/>
        <v>100000</v>
      </c>
      <c r="S31" s="25">
        <f t="shared" si="2"/>
        <v>1.8428798017751307</v>
      </c>
      <c r="T31" s="304"/>
      <c r="U31" s="20"/>
    </row>
    <row r="32" spans="1:21" s="14" customFormat="1" ht="56.25" x14ac:dyDescent="0.3">
      <c r="A32" s="26" t="str">
        <f>'Quadro Geral'!A30</f>
        <v>Gerência de Atendimento</v>
      </c>
      <c r="B32" s="27" t="str">
        <f>'Quadro Geral'!B30</f>
        <v>A</v>
      </c>
      <c r="C32" s="28">
        <f>'Quadro Geral'!D30</f>
        <v>0</v>
      </c>
      <c r="D32" s="29" t="str">
        <f>'Quadro Geral'!E30</f>
        <v>Atendimento da Sociedade e arquitetos e urbanistas</v>
      </c>
      <c r="E32" s="295">
        <f>'Quadro Geral'!M30</f>
        <v>286552.5</v>
      </c>
      <c r="F32" s="296"/>
      <c r="G32" s="297">
        <v>147552.5</v>
      </c>
      <c r="H32" s="298"/>
      <c r="I32" s="298"/>
      <c r="J32" s="298"/>
      <c r="K32" s="298"/>
      <c r="L32" s="298">
        <v>139000</v>
      </c>
      <c r="M32" s="298"/>
      <c r="N32" s="298"/>
      <c r="O32" s="298"/>
      <c r="P32" s="299">
        <f t="shared" si="0"/>
        <v>286552.5</v>
      </c>
      <c r="Q32" s="298"/>
      <c r="R32" s="299">
        <f t="shared" si="1"/>
        <v>286552.5</v>
      </c>
      <c r="S32" s="25">
        <f t="shared" si="2"/>
        <v>5.2808181439816817</v>
      </c>
      <c r="T32" s="304"/>
      <c r="U32" s="20"/>
    </row>
    <row r="33" spans="1:22" s="14" customFormat="1" ht="18.75" x14ac:dyDescent="0.3">
      <c r="A33" s="26" t="str">
        <f>'Quadro Geral'!A31</f>
        <v>Presidência</v>
      </c>
      <c r="B33" s="27" t="str">
        <f>'Quadro Geral'!B31</f>
        <v>P</v>
      </c>
      <c r="C33" s="28">
        <f>'Quadro Geral'!D31</f>
        <v>0</v>
      </c>
      <c r="D33" s="29" t="str">
        <f>'Quadro Geral'!E31</f>
        <v>Reforma sede CAU/BA</v>
      </c>
      <c r="E33" s="295">
        <f>'Quadro Geral'!M31</f>
        <v>400000</v>
      </c>
      <c r="F33" s="296"/>
      <c r="G33" s="297"/>
      <c r="H33" s="298"/>
      <c r="I33" s="298"/>
      <c r="J33" s="298"/>
      <c r="K33" s="298"/>
      <c r="L33" s="298"/>
      <c r="M33" s="298"/>
      <c r="N33" s="298"/>
      <c r="O33" s="298"/>
      <c r="P33" s="299">
        <f t="shared" si="0"/>
        <v>0</v>
      </c>
      <c r="Q33" s="298">
        <v>400000</v>
      </c>
      <c r="R33" s="299">
        <f t="shared" si="1"/>
        <v>400000</v>
      </c>
      <c r="S33" s="25">
        <f t="shared" si="2"/>
        <v>7.3715192071005227</v>
      </c>
      <c r="T33" s="304"/>
      <c r="U33" s="20"/>
    </row>
    <row r="34" spans="1:22" s="14" customFormat="1" ht="37.5" x14ac:dyDescent="0.3">
      <c r="A34" s="26" t="str">
        <f>'Quadro Geral'!A32</f>
        <v>Gerência Adm. Financeira</v>
      </c>
      <c r="B34" s="27" t="str">
        <f>'Quadro Geral'!B32</f>
        <v>P</v>
      </c>
      <c r="C34" s="28">
        <f>'Quadro Geral'!D32</f>
        <v>0</v>
      </c>
      <c r="D34" s="29" t="str">
        <f>'Quadro Geral'!E32</f>
        <v>Aquisição de Equipamentos</v>
      </c>
      <c r="E34" s="295">
        <f>'Quadro Geral'!M32</f>
        <v>160000</v>
      </c>
      <c r="F34" s="296"/>
      <c r="G34" s="297"/>
      <c r="H34" s="298"/>
      <c r="I34" s="298"/>
      <c r="J34" s="298"/>
      <c r="K34" s="298"/>
      <c r="L34" s="298"/>
      <c r="M34" s="298"/>
      <c r="N34" s="298"/>
      <c r="O34" s="298"/>
      <c r="P34" s="299">
        <f t="shared" si="0"/>
        <v>0</v>
      </c>
      <c r="Q34" s="298">
        <v>160000</v>
      </c>
      <c r="R34" s="299">
        <f t="shared" si="1"/>
        <v>160000</v>
      </c>
      <c r="S34" s="25">
        <f t="shared" si="2"/>
        <v>2.9486076828402088</v>
      </c>
      <c r="T34" s="304"/>
      <c r="U34" s="20"/>
    </row>
    <row r="35" spans="1:22" s="14" customFormat="1" ht="37.5" x14ac:dyDescent="0.3">
      <c r="A35" s="26" t="str">
        <f>'Quadro Geral'!A33</f>
        <v>Gerência Adm. Financeira</v>
      </c>
      <c r="B35" s="27" t="str">
        <f>'Quadro Geral'!B33</f>
        <v>A</v>
      </c>
      <c r="C35" s="28">
        <f>'Quadro Geral'!D33</f>
        <v>0</v>
      </c>
      <c r="D35" s="29" t="str">
        <f>'Quadro Geral'!E33</f>
        <v>CSC -Fiscalização</v>
      </c>
      <c r="E35" s="295">
        <f>'Quadro Geral'!M33</f>
        <v>80850.94</v>
      </c>
      <c r="F35" s="296"/>
      <c r="G35" s="297"/>
      <c r="H35" s="298"/>
      <c r="I35" s="298"/>
      <c r="J35" s="298"/>
      <c r="K35" s="298"/>
      <c r="L35" s="298"/>
      <c r="M35" s="319">
        <v>80850.94</v>
      </c>
      <c r="N35" s="298"/>
      <c r="O35" s="298"/>
      <c r="P35" s="299">
        <f t="shared" si="0"/>
        <v>80850.94</v>
      </c>
      <c r="Q35" s="298"/>
      <c r="R35" s="299">
        <f t="shared" si="1"/>
        <v>80850.94</v>
      </c>
      <c r="S35" s="25">
        <f t="shared" si="2"/>
        <v>1.48998564280533</v>
      </c>
      <c r="T35" s="304"/>
      <c r="U35" s="327"/>
    </row>
    <row r="36" spans="1:22" s="14" customFormat="1" ht="37.5" x14ac:dyDescent="0.3">
      <c r="A36" s="26" t="str">
        <f>'Quadro Geral'!A34</f>
        <v>Gerência Adm. Financeira</v>
      </c>
      <c r="B36" s="27" t="str">
        <f>'Quadro Geral'!B34</f>
        <v>A</v>
      </c>
      <c r="C36" s="28">
        <f>'Quadro Geral'!D34</f>
        <v>0</v>
      </c>
      <c r="D36" s="29" t="str">
        <f>'Quadro Geral'!E34</f>
        <v>CSC- Atendimento</v>
      </c>
      <c r="E36" s="295">
        <f>'Quadro Geral'!M34</f>
        <v>15976.54</v>
      </c>
      <c r="F36" s="296"/>
      <c r="G36" s="297"/>
      <c r="H36" s="298"/>
      <c r="I36" s="298"/>
      <c r="J36" s="298"/>
      <c r="K36" s="298"/>
      <c r="L36" s="298"/>
      <c r="M36" s="319">
        <v>15976.54</v>
      </c>
      <c r="N36" s="298"/>
      <c r="O36" s="298"/>
      <c r="P36" s="299">
        <f t="shared" si="0"/>
        <v>15976.54</v>
      </c>
      <c r="Q36" s="298"/>
      <c r="R36" s="299">
        <f t="shared" si="1"/>
        <v>15976.54</v>
      </c>
      <c r="S36" s="25">
        <f t="shared" si="2"/>
        <v>0.29442842868252445</v>
      </c>
      <c r="T36" s="304"/>
      <c r="U36" s="327"/>
      <c r="V36" s="135"/>
    </row>
    <row r="37" spans="1:22" s="135" customFormat="1" ht="37.5" x14ac:dyDescent="0.3">
      <c r="A37" s="26" t="str">
        <f>'Quadro Geral'!A35</f>
        <v>Gerência de Fiscalização</v>
      </c>
      <c r="B37" s="27" t="str">
        <f>'Quadro Geral'!B35</f>
        <v>A</v>
      </c>
      <c r="C37" s="28">
        <f>'Quadro Geral'!D35</f>
        <v>0</v>
      </c>
      <c r="D37" s="29" t="str">
        <f>'Quadro Geral'!E35</f>
        <v>Plano de Fiscalização</v>
      </c>
      <c r="E37" s="295">
        <f>'Quadro Geral'!M35</f>
        <v>306741.08</v>
      </c>
      <c r="F37" s="296"/>
      <c r="G37" s="297">
        <v>303724.08</v>
      </c>
      <c r="H37" s="298"/>
      <c r="I37" s="298"/>
      <c r="J37" s="298"/>
      <c r="K37" s="298"/>
      <c r="L37" s="298">
        <v>3017</v>
      </c>
      <c r="M37" s="298"/>
      <c r="N37" s="298"/>
      <c r="O37" s="298"/>
      <c r="P37" s="299">
        <f t="shared" si="0"/>
        <v>306741.08</v>
      </c>
      <c r="Q37" s="298"/>
      <c r="R37" s="299">
        <f t="shared" si="1"/>
        <v>306741.08</v>
      </c>
      <c r="S37" s="25">
        <f t="shared" si="2"/>
        <v>5.6528694070668957</v>
      </c>
      <c r="T37" s="304"/>
      <c r="U37" s="327"/>
    </row>
    <row r="38" spans="1:22" s="135" customFormat="1" ht="18.75" x14ac:dyDescent="0.3">
      <c r="A38" s="26" t="str">
        <f>'Quadro Geral'!A36</f>
        <v>Plenária</v>
      </c>
      <c r="B38" s="27" t="str">
        <f>'Quadro Geral'!B36</f>
        <v>A</v>
      </c>
      <c r="C38" s="28">
        <f>'Quadro Geral'!D36</f>
        <v>0</v>
      </c>
      <c r="D38" s="29" t="str">
        <f>'Quadro Geral'!E36</f>
        <v>Reserva de Contingência</v>
      </c>
      <c r="E38" s="295">
        <f>'Quadro Geral'!M36</f>
        <v>30000</v>
      </c>
      <c r="F38" s="296"/>
      <c r="G38" s="297"/>
      <c r="H38" s="298"/>
      <c r="I38" s="298"/>
      <c r="J38" s="298"/>
      <c r="K38" s="298"/>
      <c r="L38" s="298"/>
      <c r="M38" s="298"/>
      <c r="N38" s="298">
        <v>30000</v>
      </c>
      <c r="O38" s="298"/>
      <c r="P38" s="299">
        <f t="shared" si="0"/>
        <v>30000</v>
      </c>
      <c r="Q38" s="298"/>
      <c r="R38" s="299">
        <f t="shared" si="1"/>
        <v>30000</v>
      </c>
      <c r="S38" s="25">
        <f t="shared" si="2"/>
        <v>0.55286394053253918</v>
      </c>
      <c r="T38" s="304"/>
      <c r="U38" s="20"/>
    </row>
    <row r="39" spans="1:22" s="135" customFormat="1" ht="18.75" x14ac:dyDescent="0.3">
      <c r="A39" s="26" t="str">
        <f>'Quadro Geral'!A37</f>
        <v>Presidência</v>
      </c>
      <c r="B39" s="27" t="str">
        <f>'Quadro Geral'!B37</f>
        <v>P</v>
      </c>
      <c r="C39" s="28">
        <f>'Quadro Geral'!D37</f>
        <v>0</v>
      </c>
      <c r="D39" s="29" t="str">
        <f>'Quadro Geral'!E37</f>
        <v>Aquisição sede CAU/BA</v>
      </c>
      <c r="E39" s="295">
        <f>'Quadro Geral'!M37</f>
        <v>2000000</v>
      </c>
      <c r="F39" s="296"/>
      <c r="G39" s="297"/>
      <c r="H39" s="298"/>
      <c r="I39" s="298"/>
      <c r="J39" s="298"/>
      <c r="K39" s="298"/>
      <c r="L39" s="298"/>
      <c r="M39" s="298"/>
      <c r="N39" s="298"/>
      <c r="O39" s="298"/>
      <c r="P39" s="299">
        <f t="shared" si="0"/>
        <v>0</v>
      </c>
      <c r="Q39" s="298">
        <v>2000000</v>
      </c>
      <c r="R39" s="299">
        <f t="shared" si="1"/>
        <v>2000000</v>
      </c>
      <c r="S39" s="25">
        <f t="shared" si="2"/>
        <v>36.857596035502617</v>
      </c>
      <c r="T39" s="304"/>
      <c r="U39" s="20"/>
    </row>
    <row r="40" spans="1:22" s="135" customFormat="1" ht="18.75" x14ac:dyDescent="0.3">
      <c r="A40" s="26" t="str">
        <f>'Quadro Geral'!A38</f>
        <v>Presidência</v>
      </c>
      <c r="B40" s="27" t="str">
        <f>'Quadro Geral'!B38</f>
        <v>P</v>
      </c>
      <c r="C40" s="28">
        <f>'Quadro Geral'!D38</f>
        <v>0</v>
      </c>
      <c r="D40" s="29" t="str">
        <f>'Quadro Geral'!E38</f>
        <v>CAU/BA Mais Perto</v>
      </c>
      <c r="E40" s="295">
        <f>'Quadro Geral'!M38</f>
        <v>0</v>
      </c>
      <c r="F40" s="296"/>
      <c r="G40" s="297"/>
      <c r="H40" s="298"/>
      <c r="I40" s="298"/>
      <c r="J40" s="298"/>
      <c r="K40" s="298"/>
      <c r="L40" s="298"/>
      <c r="M40" s="298"/>
      <c r="N40" s="298"/>
      <c r="O40" s="298"/>
      <c r="P40" s="299">
        <f t="shared" si="0"/>
        <v>0</v>
      </c>
      <c r="Q40" s="298"/>
      <c r="R40" s="299">
        <f t="shared" si="1"/>
        <v>0</v>
      </c>
      <c r="S40" s="25">
        <f t="shared" si="2"/>
        <v>0</v>
      </c>
      <c r="T40" s="304"/>
      <c r="U40" s="20"/>
    </row>
    <row r="41" spans="1:22" s="135" customFormat="1" ht="18.75" x14ac:dyDescent="0.3">
      <c r="A41" s="26" t="str">
        <f>'Quadro Geral'!A39</f>
        <v>Presidência</v>
      </c>
      <c r="B41" s="27" t="str">
        <f>'Quadro Geral'!B39</f>
        <v>P</v>
      </c>
      <c r="C41" s="28">
        <f>'Quadro Geral'!D39</f>
        <v>0</v>
      </c>
      <c r="D41" s="29" t="str">
        <f>'Quadro Geral'!E39</f>
        <v>Eleições</v>
      </c>
      <c r="E41" s="295">
        <f>'Quadro Geral'!M39</f>
        <v>10000</v>
      </c>
      <c r="F41" s="296"/>
      <c r="G41" s="297"/>
      <c r="H41" s="298"/>
      <c r="I41" s="298"/>
      <c r="J41" s="298"/>
      <c r="K41" s="298"/>
      <c r="L41" s="298">
        <v>10000</v>
      </c>
      <c r="M41" s="298"/>
      <c r="N41" s="298"/>
      <c r="O41" s="298"/>
      <c r="P41" s="299">
        <f t="shared" si="0"/>
        <v>10000</v>
      </c>
      <c r="Q41" s="298"/>
      <c r="R41" s="299">
        <f t="shared" si="1"/>
        <v>10000</v>
      </c>
      <c r="S41" s="25">
        <f t="shared" si="2"/>
        <v>0.18428798017751305</v>
      </c>
      <c r="T41" s="304"/>
      <c r="U41" s="20"/>
    </row>
    <row r="42" spans="1:22" s="135" customFormat="1" ht="18.75" x14ac:dyDescent="0.3">
      <c r="A42" s="26" t="str">
        <f>'Quadro Geral'!A40</f>
        <v>Presidência</v>
      </c>
      <c r="B42" s="27" t="str">
        <f>'Quadro Geral'!B40</f>
        <v>P</v>
      </c>
      <c r="C42" s="28">
        <f>'Quadro Geral'!D40</f>
        <v>0</v>
      </c>
      <c r="D42" s="29" t="str">
        <f>'Quadro Geral'!E40</f>
        <v>Concurso Público</v>
      </c>
      <c r="E42" s="295">
        <f>'Quadro Geral'!M40</f>
        <v>0</v>
      </c>
      <c r="F42" s="296"/>
      <c r="G42" s="298"/>
      <c r="H42" s="298"/>
      <c r="I42" s="298"/>
      <c r="J42" s="298"/>
      <c r="K42" s="298"/>
      <c r="L42" s="298"/>
      <c r="M42" s="298"/>
      <c r="N42" s="298"/>
      <c r="O42" s="298"/>
      <c r="P42" s="299">
        <f t="shared" si="0"/>
        <v>0</v>
      </c>
      <c r="Q42" s="298"/>
      <c r="R42" s="299">
        <f t="shared" si="1"/>
        <v>0</v>
      </c>
      <c r="S42" s="25">
        <f t="shared" si="2"/>
        <v>0</v>
      </c>
      <c r="T42" s="304"/>
      <c r="U42" s="20"/>
    </row>
    <row r="43" spans="1:22" s="14" customFormat="1" ht="18.75" x14ac:dyDescent="0.3">
      <c r="A43" s="26"/>
      <c r="B43" s="27"/>
      <c r="C43" s="28"/>
      <c r="D43" s="29"/>
      <c r="E43" s="295"/>
      <c r="F43" s="296"/>
      <c r="G43" s="298"/>
      <c r="H43" s="298"/>
      <c r="I43" s="298"/>
      <c r="J43" s="298"/>
      <c r="K43" s="298"/>
      <c r="L43" s="298"/>
      <c r="M43" s="298"/>
      <c r="N43" s="298"/>
      <c r="O43" s="298"/>
      <c r="P43" s="299">
        <f t="shared" ref="P43" si="3">SUM(G43:O43)</f>
        <v>0</v>
      </c>
      <c r="Q43" s="298"/>
      <c r="R43" s="299">
        <f t="shared" si="1"/>
        <v>0</v>
      </c>
      <c r="S43" s="25">
        <f t="shared" si="2"/>
        <v>0</v>
      </c>
      <c r="T43" s="304"/>
      <c r="U43" s="20"/>
    </row>
    <row r="44" spans="1:22" s="21" customFormat="1" ht="18.75" x14ac:dyDescent="0.3">
      <c r="A44" s="553" t="s">
        <v>63</v>
      </c>
      <c r="B44" s="553"/>
      <c r="C44" s="553"/>
      <c r="D44" s="553"/>
      <c r="E44" s="301">
        <f>SUM(E11:E42)</f>
        <v>5426289.8700000001</v>
      </c>
      <c r="F44" s="302"/>
      <c r="G44" s="303">
        <f>SUM(G11:G43)</f>
        <v>1381316.9100000001</v>
      </c>
      <c r="H44" s="303">
        <f t="shared" ref="H44:R44" si="4">SUM(H11:H43)</f>
        <v>0</v>
      </c>
      <c r="I44" s="303">
        <f t="shared" si="4"/>
        <v>6224</v>
      </c>
      <c r="J44" s="303">
        <f t="shared" si="4"/>
        <v>25025.149999999998</v>
      </c>
      <c r="K44" s="303">
        <f t="shared" si="4"/>
        <v>30856.14</v>
      </c>
      <c r="L44" s="303">
        <f t="shared" si="4"/>
        <v>1251738.8199999998</v>
      </c>
      <c r="M44" s="303">
        <f t="shared" si="4"/>
        <v>141128.85</v>
      </c>
      <c r="N44" s="303">
        <f t="shared" si="4"/>
        <v>30000</v>
      </c>
      <c r="O44" s="303">
        <f t="shared" si="4"/>
        <v>0</v>
      </c>
      <c r="P44" s="303">
        <f t="shared" si="4"/>
        <v>2866289.87</v>
      </c>
      <c r="Q44" s="303">
        <f t="shared" si="4"/>
        <v>2560000</v>
      </c>
      <c r="R44" s="303">
        <f t="shared" si="4"/>
        <v>5426289.8700000001</v>
      </c>
      <c r="S44" s="554">
        <f>SUM(S11:S43)</f>
        <v>100</v>
      </c>
      <c r="T44" s="304"/>
      <c r="U44" s="20"/>
    </row>
    <row r="45" spans="1:22" s="21" customFormat="1" ht="18.75" x14ac:dyDescent="0.3">
      <c r="A45" s="553" t="s">
        <v>59</v>
      </c>
      <c r="B45" s="553"/>
      <c r="C45" s="553"/>
      <c r="D45" s="553"/>
      <c r="E45" s="553"/>
      <c r="F45" s="59"/>
      <c r="G45" s="22">
        <f>IFERROR(G44/$R44*100,0)</f>
        <v>25.456010332894362</v>
      </c>
      <c r="H45" s="22">
        <f t="shared" ref="H45:R45" si="5">IFERROR(H44/$R44*100,0)</f>
        <v>0</v>
      </c>
      <c r="I45" s="22">
        <f t="shared" si="5"/>
        <v>0.11470083886248414</v>
      </c>
      <c r="J45" s="22">
        <f t="shared" si="5"/>
        <v>0.46118343471392909</v>
      </c>
      <c r="K45" s="22">
        <f t="shared" si="5"/>
        <v>0.56864157166745677</v>
      </c>
      <c r="L45" s="22">
        <f t="shared" si="5"/>
        <v>23.068041884758358</v>
      </c>
      <c r="M45" s="22">
        <f t="shared" si="5"/>
        <v>2.6008350711275217</v>
      </c>
      <c r="N45" s="22">
        <f t="shared" si="5"/>
        <v>0.55286394053253918</v>
      </c>
      <c r="O45" s="22">
        <f t="shared" si="5"/>
        <v>0</v>
      </c>
      <c r="P45" s="22">
        <f t="shared" si="5"/>
        <v>52.822277074556659</v>
      </c>
      <c r="Q45" s="22">
        <f t="shared" si="5"/>
        <v>47.177722925443341</v>
      </c>
      <c r="R45" s="22">
        <f t="shared" si="5"/>
        <v>100</v>
      </c>
      <c r="S45" s="554"/>
      <c r="T45" s="304"/>
      <c r="U45" s="20"/>
    </row>
    <row r="46" spans="1:22" s="23" customFormat="1" ht="18.75" x14ac:dyDescent="0.3">
      <c r="A46" s="555" t="s">
        <v>296</v>
      </c>
      <c r="B46" s="555"/>
      <c r="C46" s="555"/>
      <c r="D46" s="555"/>
      <c r="E46" s="555"/>
      <c r="F46" s="555"/>
      <c r="G46" s="555"/>
      <c r="H46" s="555"/>
      <c r="I46" s="555"/>
      <c r="J46" s="555"/>
      <c r="K46" s="555"/>
      <c r="L46" s="555"/>
      <c r="M46" s="555"/>
      <c r="N46" s="555"/>
      <c r="O46" s="555"/>
      <c r="P46" s="555"/>
      <c r="Q46" s="555"/>
      <c r="R46" s="555"/>
      <c r="S46" s="555"/>
      <c r="T46" s="304"/>
      <c r="U46" s="20"/>
    </row>
    <row r="47" spans="1:22" s="23" customFormat="1" ht="18.75" x14ac:dyDescent="0.3">
      <c r="A47" s="137"/>
      <c r="B47" s="137"/>
      <c r="C47" s="137"/>
      <c r="D47" s="137"/>
      <c r="E47" s="137"/>
      <c r="F47" s="137"/>
      <c r="G47" s="137"/>
      <c r="H47" s="137"/>
      <c r="I47" s="137"/>
      <c r="J47" s="137"/>
      <c r="K47" s="137"/>
      <c r="L47" s="137"/>
      <c r="M47" s="137"/>
      <c r="N47" s="137"/>
      <c r="O47" s="137"/>
      <c r="P47" s="137"/>
      <c r="Q47" s="137"/>
      <c r="R47" s="137"/>
      <c r="S47" s="137"/>
      <c r="T47" s="304"/>
      <c r="U47" s="20"/>
    </row>
    <row r="48" spans="1:22" s="23" customFormat="1" ht="18.75" x14ac:dyDescent="0.3">
      <c r="A48" s="536" t="s">
        <v>393</v>
      </c>
      <c r="B48" s="537"/>
      <c r="C48" s="537"/>
      <c r="D48" s="537"/>
      <c r="E48" s="537"/>
      <c r="F48" s="537"/>
      <c r="G48" s="537"/>
      <c r="H48" s="537"/>
      <c r="I48" s="537"/>
      <c r="J48" s="537"/>
      <c r="K48" s="537"/>
      <c r="L48" s="537"/>
      <c r="M48" s="537"/>
      <c r="N48" s="537"/>
      <c r="O48" s="537"/>
      <c r="P48" s="537"/>
      <c r="Q48" s="537"/>
      <c r="R48" s="537"/>
      <c r="S48" s="538"/>
      <c r="T48" s="304"/>
      <c r="U48" s="20"/>
    </row>
    <row r="49" spans="1:20" s="23" customFormat="1" ht="27.75" customHeight="1" x14ac:dyDescent="0.3">
      <c r="A49" s="539" t="s">
        <v>291</v>
      </c>
      <c r="B49" s="540"/>
      <c r="C49" s="540"/>
      <c r="D49" s="540"/>
      <c r="E49" s="540"/>
      <c r="F49" s="540"/>
      <c r="G49" s="540"/>
      <c r="H49" s="540"/>
      <c r="I49" s="540"/>
      <c r="J49" s="540"/>
      <c r="K49" s="540"/>
      <c r="L49" s="540"/>
      <c r="M49" s="540"/>
      <c r="N49" s="540"/>
      <c r="O49" s="540"/>
      <c r="P49" s="540"/>
      <c r="Q49" s="540"/>
      <c r="R49" s="540"/>
      <c r="S49" s="541"/>
      <c r="T49" s="304"/>
    </row>
    <row r="50" spans="1:20" s="23" customFormat="1" ht="36" customHeight="1" x14ac:dyDescent="0.3">
      <c r="A50" s="542"/>
      <c r="B50" s="543"/>
      <c r="C50" s="543"/>
      <c r="D50" s="543"/>
      <c r="E50" s="543"/>
      <c r="F50" s="543"/>
      <c r="G50" s="543"/>
      <c r="H50" s="543"/>
      <c r="I50" s="543"/>
      <c r="J50" s="543"/>
      <c r="K50" s="543"/>
      <c r="L50" s="543"/>
      <c r="M50" s="543"/>
      <c r="N50" s="543"/>
      <c r="O50" s="543"/>
      <c r="P50" s="543"/>
      <c r="Q50" s="543"/>
      <c r="R50" s="543"/>
      <c r="S50" s="544"/>
      <c r="T50" s="304"/>
    </row>
    <row r="51" spans="1:20" s="23" customFormat="1" ht="27.75" customHeight="1" x14ac:dyDescent="0.3">
      <c r="A51" s="542"/>
      <c r="B51" s="543"/>
      <c r="C51" s="543"/>
      <c r="D51" s="543"/>
      <c r="E51" s="543"/>
      <c r="F51" s="543"/>
      <c r="G51" s="543"/>
      <c r="H51" s="543"/>
      <c r="I51" s="543"/>
      <c r="J51" s="543"/>
      <c r="K51" s="543"/>
      <c r="L51" s="543"/>
      <c r="M51" s="543"/>
      <c r="N51" s="543"/>
      <c r="O51" s="543"/>
      <c r="P51" s="543"/>
      <c r="Q51" s="543"/>
      <c r="R51" s="543"/>
      <c r="S51" s="544"/>
      <c r="T51" s="304"/>
    </row>
    <row r="52" spans="1:20" s="23" customFormat="1" ht="27.75" customHeight="1" x14ac:dyDescent="0.3">
      <c r="A52" s="542"/>
      <c r="B52" s="543"/>
      <c r="C52" s="543"/>
      <c r="D52" s="543"/>
      <c r="E52" s="543"/>
      <c r="F52" s="543"/>
      <c r="G52" s="543"/>
      <c r="H52" s="543"/>
      <c r="I52" s="543"/>
      <c r="J52" s="543"/>
      <c r="K52" s="543"/>
      <c r="L52" s="543"/>
      <c r="M52" s="543"/>
      <c r="N52" s="543"/>
      <c r="O52" s="543"/>
      <c r="P52" s="543"/>
      <c r="Q52" s="543"/>
      <c r="R52" s="543"/>
      <c r="S52" s="544"/>
      <c r="T52" s="304"/>
    </row>
    <row r="53" spans="1:20" s="23" customFormat="1" ht="27.75" customHeight="1" x14ac:dyDescent="0.3">
      <c r="A53" s="542"/>
      <c r="B53" s="543"/>
      <c r="C53" s="543"/>
      <c r="D53" s="543"/>
      <c r="E53" s="543"/>
      <c r="F53" s="543"/>
      <c r="G53" s="543"/>
      <c r="H53" s="543"/>
      <c r="I53" s="543"/>
      <c r="J53" s="543"/>
      <c r="K53" s="543"/>
      <c r="L53" s="543"/>
      <c r="M53" s="543"/>
      <c r="N53" s="543"/>
      <c r="O53" s="543"/>
      <c r="P53" s="543"/>
      <c r="Q53" s="543"/>
      <c r="R53" s="543"/>
      <c r="S53" s="544"/>
      <c r="T53" s="304"/>
    </row>
    <row r="54" spans="1:20" s="23" customFormat="1" ht="27.75" customHeight="1" x14ac:dyDescent="0.3">
      <c r="A54" s="542"/>
      <c r="B54" s="543"/>
      <c r="C54" s="543"/>
      <c r="D54" s="543"/>
      <c r="E54" s="543"/>
      <c r="F54" s="543"/>
      <c r="G54" s="543"/>
      <c r="H54" s="543"/>
      <c r="I54" s="543"/>
      <c r="J54" s="543"/>
      <c r="K54" s="543"/>
      <c r="L54" s="543"/>
      <c r="M54" s="543"/>
      <c r="N54" s="543"/>
      <c r="O54" s="543"/>
      <c r="P54" s="543"/>
      <c r="Q54" s="543"/>
      <c r="R54" s="543"/>
      <c r="S54" s="544"/>
      <c r="T54" s="304"/>
    </row>
    <row r="55" spans="1:20" s="23" customFormat="1" ht="27.75" customHeight="1" x14ac:dyDescent="0.3">
      <c r="A55" s="542"/>
      <c r="B55" s="543"/>
      <c r="C55" s="543"/>
      <c r="D55" s="543"/>
      <c r="E55" s="543"/>
      <c r="F55" s="543"/>
      <c r="G55" s="543"/>
      <c r="H55" s="543"/>
      <c r="I55" s="543"/>
      <c r="J55" s="543"/>
      <c r="K55" s="543"/>
      <c r="L55" s="543"/>
      <c r="M55" s="543"/>
      <c r="N55" s="543"/>
      <c r="O55" s="543"/>
      <c r="P55" s="543"/>
      <c r="Q55" s="543"/>
      <c r="R55" s="543"/>
      <c r="S55" s="544"/>
      <c r="T55" s="304"/>
    </row>
    <row r="56" spans="1:20" s="24" customFormat="1" ht="27.75" customHeight="1" x14ac:dyDescent="0.3">
      <c r="A56" s="542"/>
      <c r="B56" s="543"/>
      <c r="C56" s="543"/>
      <c r="D56" s="543"/>
      <c r="E56" s="543"/>
      <c r="F56" s="543"/>
      <c r="G56" s="543"/>
      <c r="H56" s="543"/>
      <c r="I56" s="543"/>
      <c r="J56" s="543"/>
      <c r="K56" s="543"/>
      <c r="L56" s="543"/>
      <c r="M56" s="543"/>
      <c r="N56" s="543"/>
      <c r="O56" s="543"/>
      <c r="P56" s="543"/>
      <c r="Q56" s="543"/>
      <c r="R56" s="543"/>
      <c r="S56" s="544"/>
      <c r="T56" s="304"/>
    </row>
    <row r="57" spans="1:20" ht="27.75" customHeight="1" x14ac:dyDescent="0.3">
      <c r="A57" s="542"/>
      <c r="B57" s="543"/>
      <c r="C57" s="543"/>
      <c r="D57" s="543"/>
      <c r="E57" s="543"/>
      <c r="F57" s="543"/>
      <c r="G57" s="543"/>
      <c r="H57" s="543"/>
      <c r="I57" s="543"/>
      <c r="J57" s="543"/>
      <c r="K57" s="543"/>
      <c r="L57" s="543"/>
      <c r="M57" s="543"/>
      <c r="N57" s="543"/>
      <c r="O57" s="543"/>
      <c r="P57" s="543"/>
      <c r="Q57" s="543"/>
      <c r="R57" s="543"/>
      <c r="S57" s="544"/>
      <c r="T57" s="304"/>
    </row>
    <row r="58" spans="1:20" ht="27.75" customHeight="1" x14ac:dyDescent="0.3">
      <c r="A58" s="545"/>
      <c r="B58" s="546"/>
      <c r="C58" s="546"/>
      <c r="D58" s="546"/>
      <c r="E58" s="546"/>
      <c r="F58" s="546"/>
      <c r="G58" s="546"/>
      <c r="H58" s="546"/>
      <c r="I58" s="546"/>
      <c r="J58" s="546"/>
      <c r="K58" s="546"/>
      <c r="L58" s="546"/>
      <c r="M58" s="546"/>
      <c r="N58" s="546"/>
      <c r="O58" s="546"/>
      <c r="P58" s="546"/>
      <c r="Q58" s="546"/>
      <c r="R58" s="546"/>
      <c r="S58" s="547"/>
      <c r="T58" s="304"/>
    </row>
  </sheetData>
  <mergeCells count="25">
    <mergeCell ref="A5:S5"/>
    <mergeCell ref="I9:I10"/>
    <mergeCell ref="O9:O10"/>
    <mergeCell ref="P9:P10"/>
    <mergeCell ref="Q9:Q10"/>
    <mergeCell ref="R9:R10"/>
    <mergeCell ref="A9:A10"/>
    <mergeCell ref="B9:B10"/>
    <mergeCell ref="C9:C10"/>
    <mergeCell ref="D9:D10"/>
    <mergeCell ref="E9:E10"/>
    <mergeCell ref="G9:H9"/>
    <mergeCell ref="A6:S6"/>
    <mergeCell ref="S9:S10"/>
    <mergeCell ref="A48:S48"/>
    <mergeCell ref="A49:S58"/>
    <mergeCell ref="U10:AC10"/>
    <mergeCell ref="J9:L9"/>
    <mergeCell ref="M9:M10"/>
    <mergeCell ref="N9:N10"/>
    <mergeCell ref="A44:D44"/>
    <mergeCell ref="S44:S45"/>
    <mergeCell ref="A45:E45"/>
    <mergeCell ref="A46:S46"/>
    <mergeCell ref="T9:T10"/>
  </mergeCells>
  <pageMargins left="0.51181102362204722" right="0.51181102362204722" top="0.78740157480314965" bottom="0.78740157480314965" header="0.31496062992125984" footer="0.31496062992125984"/>
  <pageSetup scale="42"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BA84"/>
  <sheetViews>
    <sheetView showGridLines="0" topLeftCell="A16" zoomScale="40" zoomScaleNormal="40" zoomScaleSheetLayoutView="80" workbookViewId="0">
      <selection activeCell="G26" sqref="G26:J26"/>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9.140625" style="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416</v>
      </c>
      <c r="H8" s="570"/>
      <c r="I8" s="570"/>
      <c r="J8" s="570"/>
      <c r="K8" s="570"/>
      <c r="L8" s="570"/>
      <c r="M8" s="570"/>
      <c r="N8" s="570"/>
      <c r="O8" s="570"/>
      <c r="P8" s="571"/>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525</v>
      </c>
      <c r="H9" s="570"/>
      <c r="I9" s="570"/>
      <c r="J9" s="570"/>
      <c r="K9" s="570"/>
      <c r="L9" s="570"/>
      <c r="M9" s="570"/>
      <c r="N9" s="570"/>
      <c r="O9" s="570"/>
      <c r="P9" s="571"/>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197" t="s">
        <v>289</v>
      </c>
      <c r="D13" s="196" t="s">
        <v>288</v>
      </c>
      <c r="E13" s="130" t="s">
        <v>217</v>
      </c>
      <c r="F13" s="582"/>
      <c r="G13" s="582"/>
      <c r="H13" s="197" t="s">
        <v>373</v>
      </c>
      <c r="I13" s="197" t="s">
        <v>374</v>
      </c>
      <c r="J13" s="197"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157.5" x14ac:dyDescent="0.5">
      <c r="A15" s="590" t="s">
        <v>514</v>
      </c>
      <c r="B15" s="591"/>
      <c r="C15" s="200">
        <v>12</v>
      </c>
      <c r="D15" s="201" t="s">
        <v>515</v>
      </c>
      <c r="E15" s="61" t="s">
        <v>281</v>
      </c>
      <c r="F15" s="61" t="s">
        <v>516</v>
      </c>
      <c r="G15" s="231"/>
      <c r="H15" s="231"/>
      <c r="I15" s="231"/>
      <c r="J15" s="231">
        <f>H15+I15</f>
        <v>0</v>
      </c>
      <c r="K15" s="151">
        <f>J15-G15</f>
        <v>0</v>
      </c>
      <c r="L15" s="152">
        <f>IFERROR(K15/G15*100,0)</f>
        <v>0</v>
      </c>
      <c r="M15" s="152" t="s">
        <v>371</v>
      </c>
      <c r="N15" s="153"/>
      <c r="O15" s="154">
        <f>IFERROR(N15/J15*100,)</f>
        <v>0</v>
      </c>
      <c r="P15" s="155" t="s">
        <v>547</v>
      </c>
      <c r="Z15" s="3"/>
      <c r="AA15" s="118"/>
      <c r="AB15" s="116"/>
      <c r="AC15" s="116"/>
      <c r="AD15" s="116"/>
      <c r="AE15" s="116"/>
      <c r="AF15" s="116"/>
      <c r="AG15" s="3"/>
      <c r="AH15" s="3"/>
      <c r="AI15" s="3"/>
      <c r="AJ15" s="3"/>
      <c r="AZ15" s="188"/>
      <c r="BA15" s="188" t="s">
        <v>213</v>
      </c>
    </row>
    <row r="16" spans="1:53" ht="131.25" x14ac:dyDescent="0.5">
      <c r="A16" s="590" t="s">
        <v>514</v>
      </c>
      <c r="B16" s="591"/>
      <c r="C16" s="200">
        <v>10</v>
      </c>
      <c r="D16" s="201" t="s">
        <v>517</v>
      </c>
      <c r="E16" s="61" t="s">
        <v>281</v>
      </c>
      <c r="F16" s="61" t="s">
        <v>518</v>
      </c>
      <c r="G16" s="231"/>
      <c r="H16" s="231"/>
      <c r="I16" s="231"/>
      <c r="J16" s="231">
        <f t="shared" ref="J16:J23" si="1">H16+I16</f>
        <v>0</v>
      </c>
      <c r="K16" s="151">
        <f t="shared" ref="K16:K22" si="2">J16-G16</f>
        <v>0</v>
      </c>
      <c r="L16" s="152">
        <f t="shared" ref="L16:L24" si="3">IFERROR(K16/G16*100,0)</f>
        <v>0</v>
      </c>
      <c r="M16" s="152" t="s">
        <v>371</v>
      </c>
      <c r="N16" s="153"/>
      <c r="O16" s="154">
        <f t="shared" ref="O16:O24" si="4">IFERROR(N16/J16*100,)</f>
        <v>0</v>
      </c>
      <c r="P16" s="155" t="s">
        <v>547</v>
      </c>
      <c r="Z16" s="3"/>
      <c r="AA16" s="118"/>
      <c r="AB16" s="116"/>
      <c r="AC16" s="116"/>
      <c r="AD16" s="116"/>
      <c r="AE16" s="116"/>
      <c r="AF16" s="116"/>
      <c r="AG16" s="3"/>
      <c r="AH16" s="3"/>
      <c r="AI16" s="3"/>
      <c r="AJ16" s="3"/>
      <c r="AZ16" s="188"/>
      <c r="BA16" s="188" t="s">
        <v>371</v>
      </c>
    </row>
    <row r="17" spans="1:36" ht="78.75" x14ac:dyDescent="0.4">
      <c r="A17" s="590" t="s">
        <v>514</v>
      </c>
      <c r="B17" s="591"/>
      <c r="C17" s="200">
        <v>12</v>
      </c>
      <c r="D17" s="61" t="s">
        <v>519</v>
      </c>
      <c r="E17" s="61" t="s">
        <v>281</v>
      </c>
      <c r="F17" s="61" t="s">
        <v>520</v>
      </c>
      <c r="G17" s="231"/>
      <c r="H17" s="231"/>
      <c r="I17" s="231"/>
      <c r="J17" s="231">
        <f t="shared" si="1"/>
        <v>0</v>
      </c>
      <c r="K17" s="151">
        <f t="shared" si="2"/>
        <v>0</v>
      </c>
      <c r="L17" s="152">
        <f t="shared" si="3"/>
        <v>0</v>
      </c>
      <c r="M17" s="152" t="s">
        <v>371</v>
      </c>
      <c r="N17" s="153"/>
      <c r="O17" s="154">
        <f t="shared" si="4"/>
        <v>0</v>
      </c>
      <c r="P17" s="155" t="s">
        <v>547</v>
      </c>
      <c r="Z17" s="3"/>
      <c r="AA17" s="118"/>
      <c r="AB17" s="116"/>
      <c r="AC17" s="116"/>
      <c r="AD17" s="116"/>
      <c r="AE17" s="116"/>
      <c r="AF17" s="116"/>
      <c r="AG17" s="3"/>
      <c r="AH17" s="3"/>
      <c r="AI17" s="3"/>
      <c r="AJ17" s="3"/>
    </row>
    <row r="18" spans="1:36" ht="105" x14ac:dyDescent="0.4">
      <c r="A18" s="590" t="s">
        <v>512</v>
      </c>
      <c r="B18" s="591"/>
      <c r="C18" s="200">
        <v>12</v>
      </c>
      <c r="D18" s="61" t="s">
        <v>521</v>
      </c>
      <c r="E18" s="61" t="s">
        <v>281</v>
      </c>
      <c r="F18" s="61" t="s">
        <v>522</v>
      </c>
      <c r="G18" s="232">
        <f>75000+33000</f>
        <v>108000</v>
      </c>
      <c r="H18" s="231">
        <f>4211.43+4329.44</f>
        <v>8540.869999999999</v>
      </c>
      <c r="I18" s="231">
        <v>2471.64</v>
      </c>
      <c r="J18" s="231">
        <f>H18+I18</f>
        <v>11012.509999999998</v>
      </c>
      <c r="K18" s="151">
        <f t="shared" si="2"/>
        <v>-96987.49</v>
      </c>
      <c r="L18" s="152">
        <f t="shared" si="3"/>
        <v>-89.803231481481475</v>
      </c>
      <c r="M18" s="152" t="s">
        <v>371</v>
      </c>
      <c r="N18" s="153"/>
      <c r="O18" s="154">
        <f t="shared" si="4"/>
        <v>0</v>
      </c>
      <c r="P18" s="155" t="s">
        <v>547</v>
      </c>
      <c r="Z18" s="3"/>
      <c r="AA18" s="118"/>
      <c r="AB18" s="116"/>
      <c r="AC18" s="116"/>
      <c r="AD18" s="116"/>
      <c r="AE18" s="116"/>
      <c r="AF18" s="116"/>
      <c r="AG18" s="3"/>
      <c r="AH18" s="3"/>
      <c r="AI18" s="3"/>
      <c r="AJ18" s="3"/>
    </row>
    <row r="19" spans="1:36" ht="112.5" customHeight="1" x14ac:dyDescent="0.25">
      <c r="A19" s="590" t="s">
        <v>514</v>
      </c>
      <c r="B19" s="591"/>
      <c r="C19" s="200">
        <v>1</v>
      </c>
      <c r="D19" s="61" t="s">
        <v>523</v>
      </c>
      <c r="E19" s="61" t="s">
        <v>281</v>
      </c>
      <c r="F19" s="61" t="s">
        <v>524</v>
      </c>
      <c r="G19" s="233">
        <f>67515.73+2000</f>
        <v>69515.73</v>
      </c>
      <c r="H19" s="231">
        <f>35024.02-H18</f>
        <v>26483.149999999998</v>
      </c>
      <c r="I19" s="231">
        <f>G19-H19</f>
        <v>43032.58</v>
      </c>
      <c r="J19" s="231">
        <f t="shared" si="1"/>
        <v>69515.73</v>
      </c>
      <c r="K19" s="151">
        <f t="shared" si="2"/>
        <v>0</v>
      </c>
      <c r="L19" s="152">
        <f t="shared" si="3"/>
        <v>0</v>
      </c>
      <c r="M19" s="152" t="s">
        <v>371</v>
      </c>
      <c r="N19" s="153"/>
      <c r="O19" s="154">
        <f t="shared" si="4"/>
        <v>0</v>
      </c>
      <c r="P19" s="155" t="s">
        <v>547</v>
      </c>
      <c r="Z19" s="3"/>
      <c r="AA19" s="3"/>
      <c r="AB19" s="3"/>
      <c r="AC19" s="3"/>
      <c r="AD19" s="3"/>
      <c r="AE19" s="3"/>
      <c r="AF19" s="3"/>
      <c r="AG19" s="3"/>
      <c r="AH19" s="3"/>
      <c r="AI19" s="3"/>
      <c r="AJ19" s="3"/>
    </row>
    <row r="20" spans="1:36" ht="55.5" hidden="1" customHeight="1" x14ac:dyDescent="0.25">
      <c r="A20" s="590"/>
      <c r="B20" s="591"/>
      <c r="C20" s="61"/>
      <c r="D20" s="61"/>
      <c r="E20" s="61"/>
      <c r="F20" s="61"/>
      <c r="G20" s="231"/>
      <c r="H20" s="231"/>
      <c r="I20" s="231"/>
      <c r="J20" s="231">
        <f>H20+I20</f>
        <v>0</v>
      </c>
      <c r="K20" s="151">
        <f t="shared" si="2"/>
        <v>0</v>
      </c>
      <c r="L20" s="152">
        <f t="shared" si="3"/>
        <v>0</v>
      </c>
      <c r="M20" s="152"/>
      <c r="N20" s="153"/>
      <c r="O20" s="154">
        <f t="shared" si="4"/>
        <v>0</v>
      </c>
      <c r="P20" s="155"/>
      <c r="Z20" s="3"/>
      <c r="AA20" s="3"/>
      <c r="AB20" s="3"/>
      <c r="AC20" s="3"/>
      <c r="AD20" s="3"/>
      <c r="AE20" s="3"/>
      <c r="AF20" s="3"/>
      <c r="AG20" s="3"/>
      <c r="AH20" s="3"/>
      <c r="AI20" s="3"/>
      <c r="AJ20" s="3"/>
    </row>
    <row r="21" spans="1:36" ht="55.5" hidden="1" customHeight="1" x14ac:dyDescent="0.25">
      <c r="A21" s="590"/>
      <c r="B21" s="591"/>
      <c r="C21" s="61"/>
      <c r="D21" s="61"/>
      <c r="E21" s="61"/>
      <c r="F21" s="61"/>
      <c r="G21" s="231"/>
      <c r="H21" s="231"/>
      <c r="I21" s="231"/>
      <c r="J21" s="231">
        <f t="shared" si="1"/>
        <v>0</v>
      </c>
      <c r="K21" s="151">
        <f t="shared" si="2"/>
        <v>0</v>
      </c>
      <c r="L21" s="152">
        <f t="shared" si="3"/>
        <v>0</v>
      </c>
      <c r="M21" s="152"/>
      <c r="N21" s="153"/>
      <c r="O21" s="154">
        <f t="shared" si="4"/>
        <v>0</v>
      </c>
      <c r="P21" s="155"/>
      <c r="AA21" s="178"/>
    </row>
    <row r="22" spans="1:36" ht="55.5" hidden="1" customHeight="1" x14ac:dyDescent="0.25">
      <c r="A22" s="590"/>
      <c r="B22" s="591"/>
      <c r="C22" s="61"/>
      <c r="D22" s="61"/>
      <c r="E22" s="61"/>
      <c r="F22" s="61"/>
      <c r="G22" s="231"/>
      <c r="H22" s="231"/>
      <c r="I22" s="231"/>
      <c r="J22" s="231">
        <f t="shared" si="1"/>
        <v>0</v>
      </c>
      <c r="K22" s="151">
        <f t="shared" si="2"/>
        <v>0</v>
      </c>
      <c r="L22" s="152">
        <f t="shared" si="3"/>
        <v>0</v>
      </c>
      <c r="M22" s="152"/>
      <c r="N22" s="153"/>
      <c r="O22" s="154">
        <f t="shared" si="4"/>
        <v>0</v>
      </c>
      <c r="P22" s="155"/>
    </row>
    <row r="23" spans="1:36" ht="55.5" hidden="1" customHeight="1" x14ac:dyDescent="0.25">
      <c r="A23" s="590"/>
      <c r="B23" s="591"/>
      <c r="C23" s="61"/>
      <c r="D23" s="61"/>
      <c r="E23" s="61"/>
      <c r="F23" s="61"/>
      <c r="G23" s="231"/>
      <c r="H23" s="231"/>
      <c r="I23" s="231"/>
      <c r="J23" s="231">
        <f t="shared" si="1"/>
        <v>0</v>
      </c>
      <c r="K23" s="151">
        <f>J23-G23</f>
        <v>0</v>
      </c>
      <c r="L23" s="152">
        <f t="shared" si="3"/>
        <v>0</v>
      </c>
      <c r="M23" s="152"/>
      <c r="N23" s="153"/>
      <c r="O23" s="154">
        <f t="shared" si="4"/>
        <v>0</v>
      </c>
      <c r="P23" s="155"/>
    </row>
    <row r="24" spans="1:36" s="2" customFormat="1" ht="72" customHeight="1" x14ac:dyDescent="0.45">
      <c r="A24" s="592" t="s">
        <v>0</v>
      </c>
      <c r="B24" s="593"/>
      <c r="C24" s="593"/>
      <c r="D24" s="593"/>
      <c r="E24" s="593"/>
      <c r="F24" s="593"/>
      <c r="G24" s="234">
        <f>SUM(G14:G23)</f>
        <v>177515.72999999998</v>
      </c>
      <c r="H24" s="234">
        <f>SUM(H14:H23)</f>
        <v>35024.019999999997</v>
      </c>
      <c r="I24" s="234">
        <f>SUM(I14:I23)</f>
        <v>45504.22</v>
      </c>
      <c r="J24" s="234">
        <f>SUM(J14:J23)</f>
        <v>80528.239999999991</v>
      </c>
      <c r="K24" s="156">
        <f>J24-G24</f>
        <v>-96987.489999999991</v>
      </c>
      <c r="L24" s="156">
        <f t="shared" si="3"/>
        <v>-54.635997609901956</v>
      </c>
      <c r="M24" s="156"/>
      <c r="N24" s="157">
        <f>SUM(N14:N23)</f>
        <v>0</v>
      </c>
      <c r="O24" s="156">
        <f t="shared" si="4"/>
        <v>0</v>
      </c>
      <c r="P24" s="158"/>
    </row>
    <row r="25" spans="1:36" s="42" customFormat="1" ht="75.75" customHeight="1" x14ac:dyDescent="0.4">
      <c r="G25" s="305">
        <f>'Quadro Geral'!J9</f>
        <v>177515.73</v>
      </c>
      <c r="H25" s="305">
        <f>'Quadro Geral'!K9</f>
        <v>35024.019999999997</v>
      </c>
      <c r="I25" s="315">
        <f>'Quadro Geral'!L9</f>
        <v>45504.22</v>
      </c>
      <c r="J25" s="315">
        <f>'Quadro Geral'!M9</f>
        <v>80528.239999999991</v>
      </c>
    </row>
    <row r="26" spans="1:36" x14ac:dyDescent="0.4">
      <c r="A26" s="306" t="s">
        <v>296</v>
      </c>
      <c r="B26" s="306"/>
      <c r="C26" s="306"/>
      <c r="D26" s="306"/>
      <c r="E26" s="306"/>
      <c r="F26" s="306"/>
      <c r="G26" s="306" t="b">
        <f>G24=G25</f>
        <v>1</v>
      </c>
      <c r="H26" s="306" t="b">
        <f t="shared" ref="H26:J26" si="5">H24=H25</f>
        <v>1</v>
      </c>
      <c r="I26" s="306" t="b">
        <f t="shared" si="5"/>
        <v>1</v>
      </c>
      <c r="J26" s="306" t="b">
        <f t="shared" si="5"/>
        <v>1</v>
      </c>
      <c r="K26" s="306"/>
      <c r="L26" s="306"/>
      <c r="M26" s="306"/>
      <c r="N26" s="306"/>
      <c r="O26" s="306"/>
      <c r="P26" s="306"/>
    </row>
    <row r="27" spans="1:36" ht="36" customHeight="1" x14ac:dyDescent="0.25">
      <c r="A27" s="607" t="s">
        <v>292</v>
      </c>
      <c r="B27" s="608"/>
      <c r="C27" s="608"/>
      <c r="D27" s="608"/>
      <c r="E27" s="608"/>
      <c r="F27" s="608"/>
      <c r="G27" s="608"/>
      <c r="H27" s="608"/>
      <c r="I27" s="608"/>
      <c r="J27" s="608"/>
      <c r="K27" s="608"/>
      <c r="L27" s="608"/>
      <c r="M27" s="608"/>
      <c r="N27" s="608"/>
      <c r="O27" s="608"/>
      <c r="P27" s="609"/>
    </row>
    <row r="28" spans="1:36" ht="95.25" customHeight="1" x14ac:dyDescent="0.4">
      <c r="A28" s="610"/>
      <c r="B28" s="611"/>
      <c r="C28" s="611"/>
      <c r="D28" s="611"/>
      <c r="E28" s="611"/>
      <c r="F28" s="611"/>
      <c r="G28" s="611"/>
      <c r="H28" s="611"/>
      <c r="I28" s="611"/>
      <c r="J28" s="611"/>
      <c r="K28" s="611"/>
      <c r="L28" s="611"/>
      <c r="M28" s="611"/>
      <c r="N28" s="611"/>
      <c r="O28" s="611"/>
      <c r="P28" s="612"/>
    </row>
    <row r="29" spans="1:36" ht="15" hidden="1" customHeight="1" x14ac:dyDescent="0.4">
      <c r="A29" s="613" t="s">
        <v>5</v>
      </c>
      <c r="B29" s="613"/>
      <c r="C29" s="613"/>
      <c r="D29" s="613"/>
      <c r="E29" s="613"/>
      <c r="F29" s="613"/>
      <c r="G29" s="179"/>
      <c r="H29" s="179"/>
      <c r="I29" s="179"/>
      <c r="J29" s="179"/>
      <c r="K29" s="179"/>
      <c r="L29" s="179"/>
      <c r="M29" s="179"/>
      <c r="N29" s="179"/>
      <c r="O29" s="179"/>
      <c r="P29" s="179"/>
    </row>
    <row r="30" spans="1:36" ht="15" hidden="1" customHeight="1" x14ac:dyDescent="0.4">
      <c r="A30" s="70" t="s">
        <v>9</v>
      </c>
      <c r="B30" s="70"/>
      <c r="C30" s="594" t="s">
        <v>13</v>
      </c>
      <c r="D30" s="594"/>
      <c r="E30" s="594"/>
      <c r="F30" s="594"/>
      <c r="N30" s="42"/>
      <c r="O30" s="42"/>
      <c r="P30" s="42"/>
    </row>
    <row r="31" spans="1:36" ht="15" hidden="1" customHeight="1" x14ac:dyDescent="0.4">
      <c r="A31" s="70" t="s">
        <v>10</v>
      </c>
      <c r="B31" s="70"/>
      <c r="C31" s="594" t="s">
        <v>6</v>
      </c>
      <c r="D31" s="594"/>
      <c r="E31" s="594"/>
      <c r="F31" s="594"/>
      <c r="N31" s="42"/>
      <c r="O31" s="42"/>
      <c r="P31" s="42"/>
    </row>
    <row r="32" spans="1:36" ht="15" hidden="1" customHeight="1" x14ac:dyDescent="0.4">
      <c r="A32" s="70" t="s">
        <v>11</v>
      </c>
      <c r="B32" s="70"/>
      <c r="C32" s="594" t="s">
        <v>7</v>
      </c>
      <c r="D32" s="594"/>
      <c r="E32" s="594"/>
      <c r="F32" s="594"/>
      <c r="N32" s="42"/>
      <c r="O32" s="42"/>
      <c r="P32" s="42"/>
    </row>
    <row r="33" spans="1:20" ht="15" hidden="1" customHeight="1" x14ac:dyDescent="0.4">
      <c r="A33" s="70" t="s">
        <v>12</v>
      </c>
      <c r="B33" s="70"/>
      <c r="C33" s="594" t="s">
        <v>8</v>
      </c>
      <c r="D33" s="594"/>
      <c r="E33" s="594"/>
      <c r="F33" s="594"/>
      <c r="N33" s="42"/>
      <c r="O33" s="42"/>
      <c r="P33" s="42"/>
    </row>
    <row r="34" spans="1:20" ht="35.25" customHeight="1" x14ac:dyDescent="0.4"/>
    <row r="35" spans="1:20" x14ac:dyDescent="0.25">
      <c r="A35" s="595" t="s">
        <v>297</v>
      </c>
      <c r="B35" s="596"/>
      <c r="C35" s="596"/>
      <c r="D35" s="596"/>
      <c r="E35" s="596"/>
      <c r="F35" s="596"/>
      <c r="G35" s="596"/>
      <c r="H35" s="596"/>
      <c r="I35" s="596"/>
      <c r="J35" s="596"/>
      <c r="K35" s="596"/>
      <c r="L35" s="596"/>
      <c r="M35" s="596"/>
      <c r="N35" s="596"/>
      <c r="O35" s="596"/>
      <c r="P35" s="597"/>
      <c r="Q35" s="180"/>
      <c r="R35" s="180"/>
      <c r="S35" s="180"/>
      <c r="T35" s="30"/>
    </row>
    <row r="36" spans="1:20" ht="15" hidden="1" x14ac:dyDescent="0.25">
      <c r="A36" s="598" t="s">
        <v>387</v>
      </c>
      <c r="B36" s="599"/>
      <c r="C36" s="599"/>
      <c r="D36" s="599"/>
      <c r="E36" s="599"/>
      <c r="F36" s="599"/>
      <c r="G36" s="599"/>
      <c r="H36" s="599"/>
      <c r="I36" s="599"/>
      <c r="J36" s="599"/>
      <c r="K36" s="599"/>
      <c r="L36" s="599"/>
      <c r="M36" s="599"/>
      <c r="N36" s="599"/>
      <c r="O36" s="599"/>
      <c r="P36" s="600"/>
    </row>
    <row r="37" spans="1:20" ht="15" hidden="1" x14ac:dyDescent="0.25">
      <c r="A37" s="601"/>
      <c r="B37" s="602"/>
      <c r="C37" s="602"/>
      <c r="D37" s="602"/>
      <c r="E37" s="602"/>
      <c r="F37" s="602"/>
      <c r="G37" s="602"/>
      <c r="H37" s="602"/>
      <c r="I37" s="602"/>
      <c r="J37" s="602"/>
      <c r="K37" s="602"/>
      <c r="L37" s="602"/>
      <c r="M37" s="602"/>
      <c r="N37" s="602"/>
      <c r="O37" s="602"/>
      <c r="P37" s="603"/>
    </row>
    <row r="38" spans="1:20" ht="15" hidden="1" x14ac:dyDescent="0.25">
      <c r="A38" s="601"/>
      <c r="B38" s="602"/>
      <c r="C38" s="602"/>
      <c r="D38" s="602"/>
      <c r="E38" s="602"/>
      <c r="F38" s="602"/>
      <c r="G38" s="602"/>
      <c r="H38" s="602"/>
      <c r="I38" s="602"/>
      <c r="J38" s="602"/>
      <c r="K38" s="602"/>
      <c r="L38" s="602"/>
      <c r="M38" s="602"/>
      <c r="N38" s="602"/>
      <c r="O38" s="602"/>
      <c r="P38" s="603"/>
    </row>
    <row r="39" spans="1:20" ht="15" hidden="1" x14ac:dyDescent="0.25">
      <c r="A39" s="601"/>
      <c r="B39" s="602"/>
      <c r="C39" s="602"/>
      <c r="D39" s="602"/>
      <c r="E39" s="602"/>
      <c r="F39" s="602"/>
      <c r="G39" s="602"/>
      <c r="H39" s="602"/>
      <c r="I39" s="602"/>
      <c r="J39" s="602"/>
      <c r="K39" s="602"/>
      <c r="L39" s="602"/>
      <c r="M39" s="602"/>
      <c r="N39" s="602"/>
      <c r="O39" s="602"/>
      <c r="P39" s="603"/>
    </row>
    <row r="40" spans="1:20" ht="15" hidden="1" x14ac:dyDescent="0.25">
      <c r="A40" s="601"/>
      <c r="B40" s="602"/>
      <c r="C40" s="602"/>
      <c r="D40" s="602"/>
      <c r="E40" s="602"/>
      <c r="F40" s="602"/>
      <c r="G40" s="602"/>
      <c r="H40" s="602"/>
      <c r="I40" s="602"/>
      <c r="J40" s="602"/>
      <c r="K40" s="602"/>
      <c r="L40" s="602"/>
      <c r="M40" s="602"/>
      <c r="N40" s="602"/>
      <c r="O40" s="602"/>
      <c r="P40" s="603"/>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26.25" hidden="1" customHeight="1" x14ac:dyDescent="0.25">
      <c r="A45" s="601"/>
      <c r="B45" s="602"/>
      <c r="C45" s="602"/>
      <c r="D45" s="602"/>
      <c r="E45" s="602"/>
      <c r="F45" s="602"/>
      <c r="G45" s="602"/>
      <c r="H45" s="602"/>
      <c r="I45" s="602"/>
      <c r="J45" s="602"/>
      <c r="K45" s="602"/>
      <c r="L45" s="602"/>
      <c r="M45" s="602"/>
      <c r="N45" s="602"/>
      <c r="O45" s="602"/>
      <c r="P45" s="603"/>
    </row>
    <row r="46" spans="1:20" ht="26.25" hidden="1" customHeight="1" x14ac:dyDescent="0.25">
      <c r="A46" s="601"/>
      <c r="B46" s="602"/>
      <c r="C46" s="602"/>
      <c r="D46" s="602"/>
      <c r="E46" s="602"/>
      <c r="F46" s="602"/>
      <c r="G46" s="602"/>
      <c r="H46" s="602"/>
      <c r="I46" s="602"/>
      <c r="J46" s="602"/>
      <c r="K46" s="602"/>
      <c r="L46" s="602"/>
      <c r="M46" s="602"/>
      <c r="N46" s="602"/>
      <c r="O46" s="602"/>
      <c r="P46" s="603"/>
    </row>
    <row r="47" spans="1:20" ht="26.25" hidden="1" customHeight="1" x14ac:dyDescent="0.25">
      <c r="A47" s="601"/>
      <c r="B47" s="602"/>
      <c r="C47" s="602"/>
      <c r="D47" s="602"/>
      <c r="E47" s="602"/>
      <c r="F47" s="602"/>
      <c r="G47" s="602"/>
      <c r="H47" s="602"/>
      <c r="I47" s="602"/>
      <c r="J47" s="602"/>
      <c r="K47" s="602"/>
      <c r="L47" s="602"/>
      <c r="M47" s="602"/>
      <c r="N47" s="602"/>
      <c r="O47" s="602"/>
      <c r="P47" s="603"/>
    </row>
    <row r="48" spans="1:20" ht="26.25" hidden="1" customHeight="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customHeight="1" x14ac:dyDescent="0.25">
      <c r="A56" s="601"/>
      <c r="B56" s="602"/>
      <c r="C56" s="602"/>
      <c r="D56" s="602"/>
      <c r="E56" s="602"/>
      <c r="F56" s="602"/>
      <c r="G56" s="602"/>
      <c r="H56" s="602"/>
      <c r="I56" s="602"/>
      <c r="J56" s="602"/>
      <c r="K56" s="602"/>
      <c r="L56" s="602"/>
      <c r="M56" s="602"/>
      <c r="N56" s="602"/>
      <c r="O56" s="602"/>
      <c r="P56" s="603"/>
    </row>
    <row r="57" spans="1:16" ht="26.25" customHeight="1" x14ac:dyDescent="0.25">
      <c r="A57" s="601"/>
      <c r="B57" s="602"/>
      <c r="C57" s="602"/>
      <c r="D57" s="602"/>
      <c r="E57" s="602"/>
      <c r="F57" s="602"/>
      <c r="G57" s="602"/>
      <c r="H57" s="602"/>
      <c r="I57" s="602"/>
      <c r="J57" s="602"/>
      <c r="K57" s="602"/>
      <c r="L57" s="602"/>
      <c r="M57" s="602"/>
      <c r="N57" s="602"/>
      <c r="O57" s="602"/>
      <c r="P57" s="603"/>
    </row>
    <row r="58" spans="1:16" ht="26.25" customHeight="1" x14ac:dyDescent="0.25">
      <c r="A58" s="601"/>
      <c r="B58" s="602"/>
      <c r="C58" s="602"/>
      <c r="D58" s="602"/>
      <c r="E58" s="602"/>
      <c r="F58" s="602"/>
      <c r="G58" s="602"/>
      <c r="H58" s="602"/>
      <c r="I58" s="602"/>
      <c r="J58" s="602"/>
      <c r="K58" s="602"/>
      <c r="L58" s="602"/>
      <c r="M58" s="602"/>
      <c r="N58" s="602"/>
      <c r="O58" s="602"/>
      <c r="P58" s="603"/>
    </row>
    <row r="59" spans="1:16" ht="26.25"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1.5" customHeight="1" x14ac:dyDescent="0.25">
      <c r="A71" s="601"/>
      <c r="B71" s="602"/>
      <c r="C71" s="602"/>
      <c r="D71" s="602"/>
      <c r="E71" s="602"/>
      <c r="F71" s="602"/>
      <c r="G71" s="602"/>
      <c r="H71" s="602"/>
      <c r="I71" s="602"/>
      <c r="J71" s="602"/>
      <c r="K71" s="602"/>
      <c r="L71" s="602"/>
      <c r="M71" s="602"/>
      <c r="N71" s="602"/>
      <c r="O71" s="602"/>
      <c r="P71" s="603"/>
    </row>
    <row r="72" spans="1:16" ht="26.25" hidden="1" customHeight="1" x14ac:dyDescent="0.25">
      <c r="A72" s="601"/>
      <c r="B72" s="602"/>
      <c r="C72" s="602"/>
      <c r="D72" s="602"/>
      <c r="E72" s="602"/>
      <c r="F72" s="602"/>
      <c r="G72" s="602"/>
      <c r="H72" s="602"/>
      <c r="I72" s="602"/>
      <c r="J72" s="602"/>
      <c r="K72" s="602"/>
      <c r="L72" s="602"/>
      <c r="M72" s="602"/>
      <c r="N72" s="602"/>
      <c r="O72" s="602"/>
      <c r="P72" s="603"/>
    </row>
    <row r="73" spans="1:16" ht="26.25" hidden="1" customHeight="1" x14ac:dyDescent="0.25">
      <c r="A73" s="601"/>
      <c r="B73" s="602"/>
      <c r="C73" s="602"/>
      <c r="D73" s="602"/>
      <c r="E73" s="602"/>
      <c r="F73" s="602"/>
      <c r="G73" s="602"/>
      <c r="H73" s="602"/>
      <c r="I73" s="602"/>
      <c r="J73" s="602"/>
      <c r="K73" s="602"/>
      <c r="L73" s="602"/>
      <c r="M73" s="602"/>
      <c r="N73" s="602"/>
      <c r="O73" s="602"/>
      <c r="P73" s="603"/>
    </row>
    <row r="74" spans="1:16" ht="26.25" hidden="1" customHeight="1" x14ac:dyDescent="0.25">
      <c r="A74" s="601"/>
      <c r="B74" s="602"/>
      <c r="C74" s="602"/>
      <c r="D74" s="602"/>
      <c r="E74" s="602"/>
      <c r="F74" s="602"/>
      <c r="G74" s="602"/>
      <c r="H74" s="602"/>
      <c r="I74" s="602"/>
      <c r="J74" s="602"/>
      <c r="K74" s="602"/>
      <c r="L74" s="602"/>
      <c r="M74" s="602"/>
      <c r="N74" s="602"/>
      <c r="O74" s="602"/>
      <c r="P74" s="603"/>
    </row>
    <row r="75" spans="1:16" ht="26.25" hidden="1"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374.25" customHeight="1" thickBot="1" x14ac:dyDescent="0.3">
      <c r="A84" s="604"/>
      <c r="B84" s="605"/>
      <c r="C84" s="605"/>
      <c r="D84" s="605"/>
      <c r="E84" s="605"/>
      <c r="F84" s="605"/>
      <c r="G84" s="605"/>
      <c r="H84" s="605"/>
      <c r="I84" s="605"/>
      <c r="J84" s="605"/>
      <c r="K84" s="605"/>
      <c r="L84" s="605"/>
      <c r="M84" s="605"/>
      <c r="N84" s="605"/>
      <c r="O84" s="605"/>
      <c r="P84" s="606"/>
    </row>
  </sheetData>
  <sheetProtection formatCells="0" formatRows="0" insertRows="0" deleteRows="0"/>
  <mergeCells count="41">
    <mergeCell ref="A24:F24"/>
    <mergeCell ref="C33:F33"/>
    <mergeCell ref="A35:P35"/>
    <mergeCell ref="A36:P84"/>
    <mergeCell ref="A27:P27"/>
    <mergeCell ref="A28:P28"/>
    <mergeCell ref="A29:F29"/>
    <mergeCell ref="C30:F30"/>
    <mergeCell ref="C31:F31"/>
    <mergeCell ref="C32:F32"/>
    <mergeCell ref="A19:B19"/>
    <mergeCell ref="A20:B20"/>
    <mergeCell ref="A21:B21"/>
    <mergeCell ref="A22:B22"/>
    <mergeCell ref="A23:B23"/>
    <mergeCell ref="Q14:W14"/>
    <mergeCell ref="A15:B15"/>
    <mergeCell ref="A16:B16"/>
    <mergeCell ref="A17:B17"/>
    <mergeCell ref="A18:B18"/>
    <mergeCell ref="P11:P13"/>
    <mergeCell ref="C12:E12"/>
    <mergeCell ref="F12:F13"/>
    <mergeCell ref="G12:G13"/>
    <mergeCell ref="H12:J12"/>
    <mergeCell ref="K12:K13"/>
    <mergeCell ref="L12:L13"/>
    <mergeCell ref="N12:N13"/>
    <mergeCell ref="O12:O13"/>
    <mergeCell ref="N11:O11"/>
    <mergeCell ref="A11:B13"/>
    <mergeCell ref="C11:F11"/>
    <mergeCell ref="G11:J11"/>
    <mergeCell ref="K11:L11"/>
    <mergeCell ref="M11:M13"/>
    <mergeCell ref="A6:P6"/>
    <mergeCell ref="A7:P7"/>
    <mergeCell ref="A8:F8"/>
    <mergeCell ref="G8:P8"/>
    <mergeCell ref="A9:F9"/>
    <mergeCell ref="G9:P9"/>
  </mergeCells>
  <dataValidations count="2">
    <dataValidation type="list" allowBlank="1" showInputMessage="1" showErrorMessage="1" sqref="M15:M23">
      <formula1>$BA$13:$BA$16</formula1>
    </dataValidation>
    <dataValidation type="list" allowBlank="1" showInputMessage="1" showErrorMessage="1" sqref="BA13:BA15">
      <formula1>$BA$13:$BA$15</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[3]Resumo!#REF!</xm:f>
          </x14:formula1>
          <xm:sqref>E15:E19</xm:sqref>
        </x14:dataValidation>
        <x14:dataValidation type="list" allowBlank="1" showInputMessage="1" showErrorMessage="1">
          <x14:formula1>
            <xm:f>'AÇÕES ESTRATÉGICAS - DESCRIÇÃO '!$C$2:$C$22</xm:f>
          </x14:formula1>
          <xm:sqref>E20:E23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BA88"/>
  <sheetViews>
    <sheetView showGridLines="0" topLeftCell="E25" zoomScale="40" zoomScaleNormal="40" zoomScaleSheetLayoutView="80" workbookViewId="0">
      <selection activeCell="G29" sqref="G29:J30"/>
    </sheetView>
  </sheetViews>
  <sheetFormatPr defaultColWidth="9.140625" defaultRowHeight="26.25" x14ac:dyDescent="0.4"/>
  <cols>
    <col min="1" max="1" width="13" style="42" customWidth="1"/>
    <col min="2" max="2" width="21.140625" style="42" customWidth="1"/>
    <col min="3" max="3" width="29.42578125" style="42" customWidth="1"/>
    <col min="4" max="4" width="114.140625" style="42" customWidth="1"/>
    <col min="5" max="5" width="49.42578125" style="42" customWidth="1"/>
    <col min="6" max="6" width="54" style="42" customWidth="1"/>
    <col min="7" max="7" width="46.5703125" style="42" customWidth="1"/>
    <col min="8" max="10" width="45.42578125" style="42" customWidth="1"/>
    <col min="11" max="11" width="31.140625" style="42" customWidth="1"/>
    <col min="12" max="12" width="26" style="42" customWidth="1"/>
    <col min="13" max="13" width="53.7109375" style="42" customWidth="1"/>
    <col min="14" max="14" width="40.42578125" style="43" customWidth="1"/>
    <col min="15" max="15" width="39.140625" style="43" customWidth="1"/>
    <col min="16" max="16" width="36" style="43" customWidth="1"/>
    <col min="17" max="17" width="9.140625" style="1" customWidth="1"/>
    <col min="18" max="22" width="9.140625" style="1"/>
    <col min="23" max="23" width="49.42578125" style="1" hidden="1" customWidth="1"/>
    <col min="24" max="52" width="9.140625" style="1"/>
    <col min="53" max="53" width="24.42578125" style="1" hidden="1" customWidth="1"/>
    <col min="54" max="16384" width="9.140625" style="1"/>
  </cols>
  <sheetData>
    <row r="5" spans="1:53" ht="39" customHeight="1" x14ac:dyDescent="0.4"/>
    <row r="6" spans="1:53" ht="66.75" customHeight="1" x14ac:dyDescent="0.25">
      <c r="A6" s="566" t="s">
        <v>380</v>
      </c>
      <c r="B6" s="566"/>
      <c r="C6" s="566"/>
      <c r="D6" s="566"/>
      <c r="E6" s="566"/>
      <c r="F6" s="566"/>
      <c r="G6" s="566"/>
      <c r="H6" s="566"/>
      <c r="I6" s="566"/>
      <c r="J6" s="566"/>
      <c r="K6" s="566"/>
      <c r="L6" s="566"/>
      <c r="M6" s="566"/>
      <c r="N6" s="566"/>
      <c r="O6" s="566"/>
      <c r="P6" s="566"/>
    </row>
    <row r="7" spans="1:53" ht="84" customHeight="1" x14ac:dyDescent="0.25">
      <c r="A7" s="567" t="s">
        <v>382</v>
      </c>
      <c r="B7" s="567"/>
      <c r="C7" s="567"/>
      <c r="D7" s="567"/>
      <c r="E7" s="567"/>
      <c r="F7" s="567"/>
      <c r="G7" s="567"/>
      <c r="H7" s="567"/>
      <c r="I7" s="567"/>
      <c r="J7" s="567"/>
      <c r="K7" s="567"/>
      <c r="L7" s="567"/>
      <c r="M7" s="567"/>
      <c r="N7" s="567"/>
      <c r="O7" s="567"/>
      <c r="P7" s="567"/>
    </row>
    <row r="8" spans="1:53" ht="102" customHeight="1" x14ac:dyDescent="0.45">
      <c r="A8" s="568" t="s">
        <v>88</v>
      </c>
      <c r="B8" s="569"/>
      <c r="C8" s="569"/>
      <c r="D8" s="569"/>
      <c r="E8" s="569"/>
      <c r="F8" s="569"/>
      <c r="G8" s="570" t="s">
        <v>418</v>
      </c>
      <c r="H8" s="570"/>
      <c r="I8" s="570"/>
      <c r="J8" s="570"/>
      <c r="K8" s="570"/>
      <c r="L8" s="570"/>
      <c r="M8" s="570"/>
      <c r="N8" s="570"/>
      <c r="O8" s="570"/>
      <c r="P8" s="571"/>
      <c r="Q8" s="1" t="b">
        <f>G8='Quadro Geral'!E10</f>
        <v>1</v>
      </c>
      <c r="W8" s="42" t="s">
        <v>298</v>
      </c>
      <c r="Z8" s="3"/>
      <c r="AA8" s="118"/>
      <c r="AB8" s="116"/>
      <c r="AC8" s="116"/>
      <c r="AD8" s="116"/>
      <c r="AE8" s="116"/>
      <c r="AF8" s="116"/>
      <c r="AG8" s="3"/>
      <c r="AH8" s="3"/>
      <c r="AI8" s="3"/>
      <c r="AJ8" s="3"/>
    </row>
    <row r="9" spans="1:53" s="30" customFormat="1" ht="99" customHeight="1" x14ac:dyDescent="0.45">
      <c r="A9" s="568" t="s">
        <v>293</v>
      </c>
      <c r="B9" s="569"/>
      <c r="C9" s="569"/>
      <c r="D9" s="569"/>
      <c r="E9" s="569"/>
      <c r="F9" s="572"/>
      <c r="G9" s="570" t="s">
        <v>526</v>
      </c>
      <c r="H9" s="570"/>
      <c r="I9" s="570"/>
      <c r="J9" s="570"/>
      <c r="K9" s="570"/>
      <c r="L9" s="570"/>
      <c r="M9" s="570"/>
      <c r="N9" s="570"/>
      <c r="O9" s="570"/>
      <c r="P9" s="571"/>
      <c r="Q9" s="30" t="s">
        <v>702</v>
      </c>
      <c r="Z9" s="3"/>
      <c r="AA9" s="118"/>
      <c r="AB9" s="116"/>
      <c r="AC9" s="116"/>
      <c r="AD9" s="116"/>
      <c r="AE9" s="116"/>
      <c r="AF9" s="116"/>
      <c r="AG9" s="3"/>
      <c r="AH9" s="3"/>
      <c r="AI9" s="3"/>
      <c r="AJ9" s="3"/>
    </row>
    <row r="10" spans="1:53" s="30" customFormat="1" ht="131.25" customHeight="1" x14ac:dyDescent="0.4">
      <c r="A10" s="182"/>
      <c r="B10" s="183"/>
      <c r="C10" s="184"/>
      <c r="D10" s="184"/>
      <c r="E10" s="184"/>
      <c r="F10" s="184"/>
      <c r="G10" s="177"/>
      <c r="H10" s="177"/>
      <c r="I10" s="177"/>
      <c r="J10" s="177"/>
      <c r="K10" s="177"/>
      <c r="L10" s="177"/>
      <c r="M10" s="181"/>
      <c r="N10" s="177" t="s">
        <v>381</v>
      </c>
      <c r="O10" s="177"/>
      <c r="P10" s="177"/>
      <c r="Z10" s="185"/>
      <c r="AA10" s="186"/>
      <c r="AB10" s="187"/>
      <c r="AC10" s="187"/>
      <c r="AD10" s="187"/>
      <c r="AE10" s="187"/>
      <c r="AF10" s="187"/>
      <c r="AG10" s="185"/>
      <c r="AH10" s="185"/>
      <c r="AI10" s="185"/>
      <c r="AJ10" s="185"/>
    </row>
    <row r="11" spans="1:53" ht="98.25" customHeight="1" x14ac:dyDescent="0.4">
      <c r="A11" s="573" t="s">
        <v>309</v>
      </c>
      <c r="B11" s="574"/>
      <c r="C11" s="579" t="s">
        <v>95</v>
      </c>
      <c r="D11" s="580"/>
      <c r="E11" s="580"/>
      <c r="F11" s="580"/>
      <c r="G11" s="579" t="s">
        <v>96</v>
      </c>
      <c r="H11" s="580"/>
      <c r="I11" s="580"/>
      <c r="J11" s="581"/>
      <c r="K11" s="582" t="s">
        <v>4</v>
      </c>
      <c r="L11" s="582"/>
      <c r="M11" s="583" t="s">
        <v>370</v>
      </c>
      <c r="N11" s="579" t="s">
        <v>383</v>
      </c>
      <c r="O11" s="581"/>
      <c r="P11" s="582" t="s">
        <v>1</v>
      </c>
      <c r="Z11" s="3"/>
      <c r="AA11" s="118"/>
      <c r="AB11" s="116"/>
      <c r="AC11" s="116"/>
      <c r="AD11" s="116"/>
      <c r="AE11" s="116"/>
      <c r="AF11" s="116"/>
      <c r="AG11" s="3"/>
      <c r="AH11" s="3"/>
      <c r="AI11" s="3"/>
      <c r="AJ11" s="3"/>
    </row>
    <row r="12" spans="1:53" ht="48.75" customHeight="1" x14ac:dyDescent="0.4">
      <c r="A12" s="575"/>
      <c r="B12" s="576"/>
      <c r="C12" s="579" t="s">
        <v>97</v>
      </c>
      <c r="D12" s="580"/>
      <c r="E12" s="581"/>
      <c r="F12" s="582" t="s">
        <v>372</v>
      </c>
      <c r="G12" s="582" t="s">
        <v>310</v>
      </c>
      <c r="H12" s="579" t="s">
        <v>355</v>
      </c>
      <c r="I12" s="580"/>
      <c r="J12" s="581"/>
      <c r="K12" s="582" t="s">
        <v>312</v>
      </c>
      <c r="L12" s="582" t="s">
        <v>313</v>
      </c>
      <c r="M12" s="584"/>
      <c r="N12" s="586" t="s">
        <v>356</v>
      </c>
      <c r="O12" s="586" t="s">
        <v>357</v>
      </c>
      <c r="P12" s="582"/>
      <c r="Z12" s="3"/>
      <c r="AA12" s="118"/>
      <c r="AB12" s="116"/>
      <c r="AC12" s="116"/>
      <c r="AD12" s="116"/>
      <c r="AE12" s="116"/>
      <c r="AF12" s="116"/>
      <c r="AG12" s="3"/>
      <c r="AH12" s="3"/>
      <c r="AI12" s="3"/>
      <c r="AJ12" s="3"/>
    </row>
    <row r="13" spans="1:53" ht="110.25" customHeight="1" x14ac:dyDescent="0.5">
      <c r="A13" s="577"/>
      <c r="B13" s="578"/>
      <c r="C13" s="198" t="s">
        <v>289</v>
      </c>
      <c r="D13" s="199" t="s">
        <v>288</v>
      </c>
      <c r="E13" s="130" t="s">
        <v>217</v>
      </c>
      <c r="F13" s="582"/>
      <c r="G13" s="582"/>
      <c r="H13" s="198" t="s">
        <v>373</v>
      </c>
      <c r="I13" s="198" t="s">
        <v>374</v>
      </c>
      <c r="J13" s="198" t="s">
        <v>311</v>
      </c>
      <c r="K13" s="582"/>
      <c r="L13" s="582"/>
      <c r="M13" s="585"/>
      <c r="N13" s="587"/>
      <c r="O13" s="587"/>
      <c r="P13" s="582"/>
      <c r="Z13" s="3"/>
      <c r="AA13" s="118"/>
      <c r="AB13" s="116"/>
      <c r="AC13" s="116"/>
      <c r="AD13" s="116"/>
      <c r="AE13" s="116"/>
      <c r="AF13" s="116"/>
      <c r="AG13" s="3"/>
      <c r="AH13" s="3"/>
      <c r="AI13" s="3"/>
      <c r="AJ13" s="3"/>
      <c r="AZ13" s="188"/>
      <c r="BA13" s="188" t="s">
        <v>100</v>
      </c>
    </row>
    <row r="14" spans="1:53" ht="136.5" hidden="1" customHeight="1" x14ac:dyDescent="0.5">
      <c r="A14" s="128"/>
      <c r="B14" s="142"/>
      <c r="C14" s="128">
        <v>3000</v>
      </c>
      <c r="D14" s="129" t="s">
        <v>284</v>
      </c>
      <c r="E14" s="129" t="s">
        <v>224</v>
      </c>
      <c r="F14" s="128" t="s">
        <v>287</v>
      </c>
      <c r="G14" s="68"/>
      <c r="H14" s="68"/>
      <c r="I14" s="68"/>
      <c r="J14" s="68"/>
      <c r="K14" s="69" t="e">
        <f>#REF!-G14</f>
        <v>#REF!</v>
      </c>
      <c r="L14" s="62">
        <f t="shared" ref="L14" si="0">IFERROR(K14/G14*100,0)</f>
        <v>0</v>
      </c>
      <c r="M14" s="62" t="s">
        <v>290</v>
      </c>
      <c r="N14" s="81"/>
      <c r="O14" s="82">
        <f>IFERROR(N14/#REF!*100,)</f>
        <v>0</v>
      </c>
      <c r="P14" s="61"/>
      <c r="Q14" s="588" t="s">
        <v>279</v>
      </c>
      <c r="R14" s="589"/>
      <c r="S14" s="589"/>
      <c r="T14" s="589"/>
      <c r="U14" s="589"/>
      <c r="V14" s="589"/>
      <c r="W14" s="589"/>
      <c r="Z14" s="3"/>
      <c r="AA14" s="118"/>
      <c r="AB14" s="116"/>
      <c r="AC14" s="116"/>
      <c r="AD14" s="116"/>
      <c r="AE14" s="116"/>
      <c r="AF14" s="116"/>
      <c r="AG14" s="3"/>
      <c r="AH14" s="3"/>
      <c r="AI14" s="3"/>
      <c r="AJ14" s="3"/>
      <c r="AZ14" s="188"/>
      <c r="BA14" s="188"/>
    </row>
    <row r="15" spans="1:53" ht="105" x14ac:dyDescent="0.5">
      <c r="A15" s="590" t="s">
        <v>514</v>
      </c>
      <c r="B15" s="591"/>
      <c r="C15" s="200">
        <v>12</v>
      </c>
      <c r="D15" s="201" t="s">
        <v>527</v>
      </c>
      <c r="E15" s="61" t="s">
        <v>281</v>
      </c>
      <c r="F15" s="61" t="s">
        <v>528</v>
      </c>
      <c r="G15" s="210"/>
      <c r="H15" s="231"/>
      <c r="I15" s="231"/>
      <c r="J15" s="231">
        <f>H15+I15</f>
        <v>0</v>
      </c>
      <c r="K15" s="151">
        <f>J15-G15</f>
        <v>0</v>
      </c>
      <c r="L15" s="152">
        <f>IFERROR(K15/G15*100,0)</f>
        <v>0</v>
      </c>
      <c r="M15" s="152" t="s">
        <v>371</v>
      </c>
      <c r="N15" s="153"/>
      <c r="O15" s="154">
        <f>IFERROR(N15/J15*100,)</f>
        <v>0</v>
      </c>
      <c r="P15" s="155" t="s">
        <v>546</v>
      </c>
      <c r="Z15" s="3"/>
      <c r="AA15" s="118"/>
      <c r="AB15" s="116"/>
      <c r="AC15" s="116"/>
      <c r="AD15" s="116"/>
      <c r="AE15" s="116"/>
      <c r="AF15" s="116"/>
      <c r="AG15" s="3"/>
      <c r="AH15" s="3"/>
      <c r="AI15" s="3"/>
      <c r="AJ15" s="3"/>
      <c r="AZ15" s="188"/>
      <c r="BA15" s="188" t="s">
        <v>213</v>
      </c>
    </row>
    <row r="16" spans="1:53" ht="52.5" x14ac:dyDescent="0.5">
      <c r="A16" s="590" t="s">
        <v>514</v>
      </c>
      <c r="B16" s="591"/>
      <c r="C16" s="200">
        <v>6</v>
      </c>
      <c r="D16" s="201" t="s">
        <v>529</v>
      </c>
      <c r="E16" s="61" t="s">
        <v>281</v>
      </c>
      <c r="F16" s="61" t="s">
        <v>530</v>
      </c>
      <c r="G16" s="210"/>
      <c r="H16" s="231"/>
      <c r="I16" s="231"/>
      <c r="J16" s="231">
        <f t="shared" ref="J16:J27" si="1">H16+I16</f>
        <v>0</v>
      </c>
      <c r="K16" s="151">
        <f t="shared" ref="K16:K26" si="2">J16-G16</f>
        <v>0</v>
      </c>
      <c r="L16" s="152">
        <f t="shared" ref="L16:L28" si="3">IFERROR(K16/G16*100,0)</f>
        <v>0</v>
      </c>
      <c r="M16" s="152" t="s">
        <v>371</v>
      </c>
      <c r="N16" s="153"/>
      <c r="O16" s="154">
        <f t="shared" ref="O16:O28" si="4">IFERROR(N16/J16*100,)</f>
        <v>0</v>
      </c>
      <c r="P16" s="155" t="s">
        <v>546</v>
      </c>
      <c r="Z16" s="3"/>
      <c r="AA16" s="118"/>
      <c r="AB16" s="116"/>
      <c r="AC16" s="116"/>
      <c r="AD16" s="116"/>
      <c r="AE16" s="116"/>
      <c r="AF16" s="116"/>
      <c r="AG16" s="3"/>
      <c r="AH16" s="3"/>
      <c r="AI16" s="3"/>
      <c r="AJ16" s="3"/>
      <c r="AZ16" s="188"/>
      <c r="BA16" s="188" t="s">
        <v>371</v>
      </c>
    </row>
    <row r="17" spans="1:36" ht="157.5" x14ac:dyDescent="0.4">
      <c r="A17" s="590" t="s">
        <v>514</v>
      </c>
      <c r="B17" s="591"/>
      <c r="C17" s="200">
        <v>6</v>
      </c>
      <c r="D17" s="201" t="s">
        <v>531</v>
      </c>
      <c r="E17" s="61" t="s">
        <v>281</v>
      </c>
      <c r="F17" s="61" t="s">
        <v>532</v>
      </c>
      <c r="G17" s="210"/>
      <c r="H17" s="231"/>
      <c r="I17" s="231"/>
      <c r="J17" s="231">
        <f t="shared" si="1"/>
        <v>0</v>
      </c>
      <c r="K17" s="151">
        <f t="shared" si="2"/>
        <v>0</v>
      </c>
      <c r="L17" s="152">
        <f t="shared" si="3"/>
        <v>0</v>
      </c>
      <c r="M17" s="152" t="s">
        <v>371</v>
      </c>
      <c r="N17" s="153"/>
      <c r="O17" s="154">
        <f t="shared" si="4"/>
        <v>0</v>
      </c>
      <c r="P17" s="155" t="s">
        <v>546</v>
      </c>
      <c r="Z17" s="3"/>
      <c r="AA17" s="118"/>
      <c r="AB17" s="116"/>
      <c r="AC17" s="116"/>
      <c r="AD17" s="116"/>
      <c r="AE17" s="116"/>
      <c r="AF17" s="116"/>
      <c r="AG17" s="3"/>
      <c r="AH17" s="3"/>
      <c r="AI17" s="3"/>
      <c r="AJ17" s="3"/>
    </row>
    <row r="18" spans="1:36" ht="157.5" x14ac:dyDescent="0.4">
      <c r="A18" s="590" t="s">
        <v>514</v>
      </c>
      <c r="B18" s="591"/>
      <c r="C18" s="200">
        <v>2</v>
      </c>
      <c r="D18" s="201" t="s">
        <v>533</v>
      </c>
      <c r="E18" s="61" t="s">
        <v>281</v>
      </c>
      <c r="F18" s="61" t="s">
        <v>534</v>
      </c>
      <c r="G18" s="210"/>
      <c r="H18" s="231"/>
      <c r="I18" s="231"/>
      <c r="J18" s="231">
        <f t="shared" si="1"/>
        <v>0</v>
      </c>
      <c r="K18" s="151">
        <f t="shared" si="2"/>
        <v>0</v>
      </c>
      <c r="L18" s="152">
        <f t="shared" si="3"/>
        <v>0</v>
      </c>
      <c r="M18" s="152" t="s">
        <v>371</v>
      </c>
      <c r="N18" s="153"/>
      <c r="O18" s="154">
        <f t="shared" si="4"/>
        <v>0</v>
      </c>
      <c r="P18" s="155" t="s">
        <v>546</v>
      </c>
      <c r="Z18" s="3"/>
      <c r="AA18" s="118"/>
      <c r="AB18" s="116"/>
      <c r="AC18" s="116"/>
      <c r="AD18" s="116"/>
      <c r="AE18" s="116"/>
      <c r="AF18" s="116"/>
      <c r="AG18" s="3"/>
      <c r="AH18" s="3"/>
      <c r="AI18" s="3"/>
      <c r="AJ18" s="3"/>
    </row>
    <row r="19" spans="1:36" ht="78.75" x14ac:dyDescent="0.25">
      <c r="A19" s="590" t="s">
        <v>514</v>
      </c>
      <c r="B19" s="591"/>
      <c r="C19" s="200">
        <v>6</v>
      </c>
      <c r="D19" s="201" t="s">
        <v>535</v>
      </c>
      <c r="E19" s="61" t="s">
        <v>281</v>
      </c>
      <c r="F19" s="61" t="s">
        <v>536</v>
      </c>
      <c r="G19" s="210"/>
      <c r="H19" s="231"/>
      <c r="I19" s="231"/>
      <c r="J19" s="231">
        <f t="shared" si="1"/>
        <v>0</v>
      </c>
      <c r="K19" s="151">
        <f t="shared" si="2"/>
        <v>0</v>
      </c>
      <c r="L19" s="152">
        <f t="shared" si="3"/>
        <v>0</v>
      </c>
      <c r="M19" s="152" t="s">
        <v>371</v>
      </c>
      <c r="N19" s="153"/>
      <c r="O19" s="154">
        <f t="shared" si="4"/>
        <v>0</v>
      </c>
      <c r="P19" s="155" t="s">
        <v>546</v>
      </c>
      <c r="Z19" s="3"/>
      <c r="AA19" s="3"/>
      <c r="AB19" s="3"/>
      <c r="AC19" s="3"/>
      <c r="AD19" s="3"/>
      <c r="AE19" s="3"/>
      <c r="AF19" s="3"/>
      <c r="AG19" s="3"/>
      <c r="AH19" s="3"/>
      <c r="AI19" s="3"/>
      <c r="AJ19" s="3"/>
    </row>
    <row r="20" spans="1:36" ht="52.5" x14ac:dyDescent="0.25">
      <c r="A20" s="590" t="s">
        <v>512</v>
      </c>
      <c r="B20" s="591"/>
      <c r="C20" s="200">
        <v>12</v>
      </c>
      <c r="D20" s="201" t="s">
        <v>537</v>
      </c>
      <c r="E20" s="61" t="s">
        <v>281</v>
      </c>
      <c r="F20" s="61" t="s">
        <v>524</v>
      </c>
      <c r="G20" s="210">
        <v>72480</v>
      </c>
      <c r="H20" s="231">
        <f>26657.75+6133.03</f>
        <v>32790.78</v>
      </c>
      <c r="I20" s="231">
        <v>27183</v>
      </c>
      <c r="J20" s="231">
        <f t="shared" si="1"/>
        <v>59973.78</v>
      </c>
      <c r="K20" s="151">
        <f t="shared" si="2"/>
        <v>-12506.220000000001</v>
      </c>
      <c r="L20" s="152">
        <f t="shared" si="3"/>
        <v>-17.254718543046359</v>
      </c>
      <c r="M20" s="152" t="s">
        <v>371</v>
      </c>
      <c r="N20" s="153"/>
      <c r="O20" s="154">
        <f t="shared" si="4"/>
        <v>0</v>
      </c>
      <c r="P20" s="155" t="s">
        <v>546</v>
      </c>
      <c r="Z20" s="3"/>
      <c r="AA20" s="3"/>
      <c r="AB20" s="3"/>
      <c r="AC20" s="3"/>
      <c r="AD20" s="3"/>
      <c r="AE20" s="3"/>
      <c r="AF20" s="3"/>
      <c r="AG20" s="3"/>
      <c r="AH20" s="3"/>
      <c r="AI20" s="3"/>
      <c r="AJ20" s="3"/>
    </row>
    <row r="21" spans="1:36" ht="52.5" x14ac:dyDescent="0.4">
      <c r="A21" s="590" t="s">
        <v>514</v>
      </c>
      <c r="B21" s="591"/>
      <c r="C21" s="200">
        <v>1</v>
      </c>
      <c r="D21" s="201" t="s">
        <v>538</v>
      </c>
      <c r="E21" s="61" t="s">
        <v>281</v>
      </c>
      <c r="F21" s="61" t="s">
        <v>524</v>
      </c>
      <c r="G21" s="210">
        <v>253324.67</v>
      </c>
      <c r="H21" s="231">
        <v>107839.98</v>
      </c>
      <c r="I21" s="231">
        <f>G21-H21</f>
        <v>145484.69</v>
      </c>
      <c r="J21" s="231">
        <f t="shared" si="1"/>
        <v>253324.66999999998</v>
      </c>
      <c r="K21" s="151">
        <f t="shared" ref="K21:K24" si="5">J21-G21</f>
        <v>0</v>
      </c>
      <c r="L21" s="152">
        <f t="shared" ref="L21:L24" si="6">IFERROR(K21/G21*100,0)</f>
        <v>0</v>
      </c>
      <c r="M21" s="152" t="s">
        <v>371</v>
      </c>
      <c r="N21" s="153"/>
      <c r="O21" s="154">
        <f t="shared" ref="O21:O24" si="7">IFERROR(N21/J21*100,)</f>
        <v>0</v>
      </c>
      <c r="P21" s="155" t="s">
        <v>546</v>
      </c>
      <c r="Z21" s="3"/>
      <c r="AA21" s="118"/>
      <c r="AB21" s="116"/>
      <c r="AC21" s="116"/>
      <c r="AD21" s="116"/>
      <c r="AE21" s="116"/>
      <c r="AF21" s="116"/>
      <c r="AG21" s="3"/>
      <c r="AH21" s="3"/>
      <c r="AI21" s="3"/>
      <c r="AJ21" s="3"/>
    </row>
    <row r="22" spans="1:36" ht="131.25" x14ac:dyDescent="0.4">
      <c r="A22" s="590" t="s">
        <v>512</v>
      </c>
      <c r="B22" s="591"/>
      <c r="C22" s="200">
        <v>1</v>
      </c>
      <c r="D22" s="201" t="s">
        <v>539</v>
      </c>
      <c r="E22" s="61" t="s">
        <v>281</v>
      </c>
      <c r="F22" s="61" t="s">
        <v>540</v>
      </c>
      <c r="G22" s="210">
        <v>241372</v>
      </c>
      <c r="H22" s="231">
        <f>233458.1-H20-H21-H23</f>
        <v>90550.310000000012</v>
      </c>
      <c r="I22" s="231">
        <f>G22-H22+55000.48</f>
        <v>205822.17</v>
      </c>
      <c r="J22" s="231">
        <f t="shared" si="1"/>
        <v>296372.48000000004</v>
      </c>
      <c r="K22" s="151">
        <f t="shared" si="5"/>
        <v>55000.48000000004</v>
      </c>
      <c r="L22" s="152">
        <f t="shared" si="6"/>
        <v>22.786603251412775</v>
      </c>
      <c r="M22" s="152" t="s">
        <v>371</v>
      </c>
      <c r="N22" s="153"/>
      <c r="O22" s="154">
        <f t="shared" si="7"/>
        <v>0</v>
      </c>
      <c r="P22" s="155" t="s">
        <v>546</v>
      </c>
      <c r="Z22" s="3"/>
      <c r="AA22" s="118"/>
      <c r="AB22" s="116"/>
      <c r="AC22" s="116"/>
      <c r="AD22" s="116"/>
      <c r="AE22" s="116"/>
      <c r="AF22" s="116"/>
      <c r="AG22" s="3"/>
      <c r="AH22" s="3"/>
      <c r="AI22" s="3"/>
      <c r="AJ22" s="3"/>
    </row>
    <row r="23" spans="1:36" ht="78.75" x14ac:dyDescent="0.25">
      <c r="A23" s="590" t="s">
        <v>512</v>
      </c>
      <c r="B23" s="591"/>
      <c r="C23" s="204">
        <v>1</v>
      </c>
      <c r="D23" s="201" t="s">
        <v>541</v>
      </c>
      <c r="E23" s="61" t="s">
        <v>281</v>
      </c>
      <c r="F23" s="61" t="s">
        <v>542</v>
      </c>
      <c r="G23" s="210">
        <v>28500</v>
      </c>
      <c r="H23" s="231">
        <f>138.53+1906.5+232</f>
        <v>2277.0299999999997</v>
      </c>
      <c r="I23" s="231">
        <v>6224</v>
      </c>
      <c r="J23" s="231">
        <f t="shared" si="1"/>
        <v>8501.0299999999988</v>
      </c>
      <c r="K23" s="151">
        <f t="shared" si="5"/>
        <v>-19998.97</v>
      </c>
      <c r="L23" s="152">
        <f t="shared" si="6"/>
        <v>-70.171824561403511</v>
      </c>
      <c r="M23" s="152" t="s">
        <v>371</v>
      </c>
      <c r="N23" s="153"/>
      <c r="O23" s="154">
        <f t="shared" si="7"/>
        <v>0</v>
      </c>
      <c r="P23" s="155" t="s">
        <v>546</v>
      </c>
      <c r="Z23" s="3"/>
      <c r="AA23" s="3"/>
      <c r="AB23" s="3"/>
      <c r="AC23" s="3"/>
      <c r="AD23" s="3"/>
      <c r="AE23" s="3"/>
      <c r="AF23" s="3"/>
      <c r="AG23" s="3"/>
      <c r="AH23" s="3"/>
      <c r="AI23" s="3"/>
      <c r="AJ23" s="3"/>
    </row>
    <row r="24" spans="1:36" ht="78.75" x14ac:dyDescent="0.25">
      <c r="A24" s="590" t="s">
        <v>513</v>
      </c>
      <c r="B24" s="591"/>
      <c r="C24" s="200">
        <v>2</v>
      </c>
      <c r="D24" s="61" t="s">
        <v>543</v>
      </c>
      <c r="E24" s="61" t="s">
        <v>281</v>
      </c>
      <c r="F24" s="61" t="s">
        <v>544</v>
      </c>
      <c r="G24" s="210">
        <v>3000</v>
      </c>
      <c r="H24" s="231">
        <v>0</v>
      </c>
      <c r="I24" s="231">
        <v>0</v>
      </c>
      <c r="J24" s="231">
        <f t="shared" si="1"/>
        <v>0</v>
      </c>
      <c r="K24" s="151">
        <f t="shared" si="5"/>
        <v>-3000</v>
      </c>
      <c r="L24" s="152">
        <f t="shared" si="6"/>
        <v>-100</v>
      </c>
      <c r="M24" s="152" t="s">
        <v>371</v>
      </c>
      <c r="N24" s="153"/>
      <c r="O24" s="154">
        <f t="shared" si="7"/>
        <v>0</v>
      </c>
      <c r="P24" s="155" t="s">
        <v>546</v>
      </c>
      <c r="Z24" s="3"/>
      <c r="AA24" s="3"/>
      <c r="AB24" s="3"/>
      <c r="AC24" s="3"/>
      <c r="AD24" s="3"/>
      <c r="AE24" s="3"/>
      <c r="AF24" s="3"/>
      <c r="AG24" s="3"/>
      <c r="AH24" s="3"/>
      <c r="AI24" s="3"/>
      <c r="AJ24" s="3"/>
    </row>
    <row r="25" spans="1:36" ht="78.75" x14ac:dyDescent="0.25">
      <c r="A25" s="590" t="s">
        <v>513</v>
      </c>
      <c r="B25" s="591"/>
      <c r="C25" s="200">
        <v>1</v>
      </c>
      <c r="D25" s="61" t="s">
        <v>545</v>
      </c>
      <c r="E25" s="61" t="s">
        <v>281</v>
      </c>
      <c r="F25" s="61" t="s">
        <v>544</v>
      </c>
      <c r="G25" s="210">
        <v>2000</v>
      </c>
      <c r="H25" s="231">
        <v>0</v>
      </c>
      <c r="I25" s="231">
        <v>0</v>
      </c>
      <c r="J25" s="231">
        <f t="shared" si="1"/>
        <v>0</v>
      </c>
      <c r="K25" s="151">
        <f t="shared" si="2"/>
        <v>-2000</v>
      </c>
      <c r="L25" s="152">
        <f t="shared" si="3"/>
        <v>-100</v>
      </c>
      <c r="M25" s="152" t="s">
        <v>371</v>
      </c>
      <c r="N25" s="153"/>
      <c r="O25" s="154">
        <f t="shared" si="4"/>
        <v>0</v>
      </c>
      <c r="P25" s="155" t="s">
        <v>546</v>
      </c>
      <c r="AA25" s="178"/>
    </row>
    <row r="26" spans="1:36" ht="55.5" customHeight="1" x14ac:dyDescent="0.25">
      <c r="A26" s="590"/>
      <c r="B26" s="591"/>
      <c r="C26" s="61"/>
      <c r="D26" s="61"/>
      <c r="E26" s="61"/>
      <c r="F26" s="61"/>
      <c r="G26" s="231"/>
      <c r="H26" s="231"/>
      <c r="I26" s="231"/>
      <c r="J26" s="231">
        <f t="shared" si="1"/>
        <v>0</v>
      </c>
      <c r="K26" s="151">
        <f t="shared" si="2"/>
        <v>0</v>
      </c>
      <c r="L26" s="152">
        <f t="shared" si="3"/>
        <v>0</v>
      </c>
      <c r="M26" s="152"/>
      <c r="N26" s="153"/>
      <c r="O26" s="154">
        <f t="shared" si="4"/>
        <v>0</v>
      </c>
      <c r="P26" s="155"/>
    </row>
    <row r="27" spans="1:36" ht="55.5" customHeight="1" x14ac:dyDescent="0.25">
      <c r="A27" s="590"/>
      <c r="B27" s="591"/>
      <c r="C27" s="61"/>
      <c r="D27" s="61"/>
      <c r="E27" s="61"/>
      <c r="F27" s="61"/>
      <c r="G27" s="231"/>
      <c r="H27" s="231"/>
      <c r="I27" s="231"/>
      <c r="J27" s="231">
        <f t="shared" si="1"/>
        <v>0</v>
      </c>
      <c r="K27" s="151">
        <f>J27-G27</f>
        <v>0</v>
      </c>
      <c r="L27" s="152">
        <f t="shared" si="3"/>
        <v>0</v>
      </c>
      <c r="M27" s="152"/>
      <c r="N27" s="153"/>
      <c r="O27" s="154">
        <f t="shared" si="4"/>
        <v>0</v>
      </c>
      <c r="P27" s="155"/>
    </row>
    <row r="28" spans="1:36" s="2" customFormat="1" ht="72" customHeight="1" x14ac:dyDescent="0.45">
      <c r="A28" s="592" t="s">
        <v>0</v>
      </c>
      <c r="B28" s="593"/>
      <c r="C28" s="593"/>
      <c r="D28" s="593"/>
      <c r="E28" s="593"/>
      <c r="F28" s="593"/>
      <c r="G28" s="234">
        <f>SUM(G14:G27)</f>
        <v>600676.67000000004</v>
      </c>
      <c r="H28" s="234">
        <f>SUM(H14:H27)</f>
        <v>233458.1</v>
      </c>
      <c r="I28" s="234">
        <f>SUM(I14:I27)</f>
        <v>384713.86</v>
      </c>
      <c r="J28" s="234">
        <f>SUM(J14:J27)</f>
        <v>618171.96</v>
      </c>
      <c r="K28" s="156">
        <f>J28-G28</f>
        <v>17495.289999999921</v>
      </c>
      <c r="L28" s="156">
        <f t="shared" si="3"/>
        <v>2.9125968884391531</v>
      </c>
      <c r="M28" s="156"/>
      <c r="N28" s="157">
        <f>SUM(N14:N27)</f>
        <v>0</v>
      </c>
      <c r="O28" s="156">
        <f t="shared" si="4"/>
        <v>0</v>
      </c>
      <c r="P28" s="158"/>
    </row>
    <row r="29" spans="1:36" ht="61.5" customHeight="1" x14ac:dyDescent="0.45">
      <c r="A29" s="1"/>
      <c r="B29" s="1"/>
      <c r="C29" s="1"/>
      <c r="D29" s="1"/>
      <c r="E29" s="1"/>
      <c r="F29" s="1"/>
      <c r="G29" s="317">
        <f>'Quadro Geral'!J10</f>
        <v>600626.67000000004</v>
      </c>
      <c r="H29" s="317">
        <f>'Quadro Geral'!K10</f>
        <v>233458.1</v>
      </c>
      <c r="I29" s="317">
        <f>'Quadro Geral'!L10</f>
        <v>384713.86</v>
      </c>
      <c r="J29" s="317">
        <f>'Quadro Geral'!M10</f>
        <v>618171.96</v>
      </c>
      <c r="K29" s="1"/>
      <c r="L29" s="1"/>
      <c r="M29" s="1"/>
      <c r="N29" s="1"/>
      <c r="O29" s="1"/>
      <c r="P29" s="1"/>
    </row>
    <row r="30" spans="1:36" ht="28.5" x14ac:dyDescent="0.45">
      <c r="A30" s="306" t="s">
        <v>296</v>
      </c>
      <c r="B30" s="306"/>
      <c r="C30" s="306"/>
      <c r="D30" s="306"/>
      <c r="E30" s="306"/>
      <c r="F30" s="306"/>
      <c r="G30" s="328" t="b">
        <f>G28=G29</f>
        <v>0</v>
      </c>
      <c r="H30" s="328" t="b">
        <f t="shared" ref="H30:I30" si="8">H28=H29</f>
        <v>1</v>
      </c>
      <c r="I30" s="328" t="b">
        <f t="shared" si="8"/>
        <v>1</v>
      </c>
      <c r="J30" s="328" t="b">
        <f>J28=J29</f>
        <v>1</v>
      </c>
      <c r="K30" s="306"/>
      <c r="L30" s="306"/>
      <c r="M30" s="306"/>
      <c r="N30" s="306"/>
      <c r="O30" s="306"/>
      <c r="P30" s="306"/>
    </row>
    <row r="31" spans="1:36" ht="36" customHeight="1" x14ac:dyDescent="0.25">
      <c r="A31" s="607" t="s">
        <v>292</v>
      </c>
      <c r="B31" s="608"/>
      <c r="C31" s="608"/>
      <c r="D31" s="608"/>
      <c r="E31" s="608"/>
      <c r="F31" s="608"/>
      <c r="G31" s="608"/>
      <c r="H31" s="608"/>
      <c r="I31" s="608"/>
      <c r="J31" s="608"/>
      <c r="K31" s="608"/>
      <c r="L31" s="608"/>
      <c r="M31" s="608"/>
      <c r="N31" s="608"/>
      <c r="O31" s="608"/>
      <c r="P31" s="609"/>
    </row>
    <row r="32" spans="1:36" ht="95.25" customHeight="1" x14ac:dyDescent="0.4">
      <c r="A32" s="610"/>
      <c r="B32" s="611"/>
      <c r="C32" s="611"/>
      <c r="D32" s="611"/>
      <c r="E32" s="611"/>
      <c r="F32" s="611"/>
      <c r="G32" s="611"/>
      <c r="H32" s="611"/>
      <c r="I32" s="611"/>
      <c r="J32" s="611"/>
      <c r="K32" s="611"/>
      <c r="L32" s="611"/>
      <c r="M32" s="611"/>
      <c r="N32" s="611"/>
      <c r="O32" s="611"/>
      <c r="P32" s="612"/>
    </row>
    <row r="33" spans="1:20" ht="15" hidden="1" customHeight="1" x14ac:dyDescent="0.4">
      <c r="A33" s="613" t="s">
        <v>5</v>
      </c>
      <c r="B33" s="613"/>
      <c r="C33" s="613"/>
      <c r="D33" s="613"/>
      <c r="E33" s="613"/>
      <c r="F33" s="613"/>
      <c r="G33" s="179"/>
      <c r="H33" s="179"/>
      <c r="I33" s="179"/>
      <c r="J33" s="179"/>
      <c r="K33" s="179"/>
      <c r="L33" s="179"/>
      <c r="M33" s="179"/>
      <c r="N33" s="179"/>
      <c r="O33" s="179"/>
      <c r="P33" s="179"/>
    </row>
    <row r="34" spans="1:20" ht="15" hidden="1" customHeight="1" x14ac:dyDescent="0.4">
      <c r="A34" s="70" t="s">
        <v>9</v>
      </c>
      <c r="B34" s="70"/>
      <c r="C34" s="594" t="s">
        <v>13</v>
      </c>
      <c r="D34" s="594"/>
      <c r="E34" s="594"/>
      <c r="F34" s="594"/>
      <c r="N34" s="42"/>
      <c r="O34" s="42"/>
      <c r="P34" s="42"/>
    </row>
    <row r="35" spans="1:20" ht="15" hidden="1" customHeight="1" x14ac:dyDescent="0.4">
      <c r="A35" s="70" t="s">
        <v>10</v>
      </c>
      <c r="B35" s="70"/>
      <c r="C35" s="594" t="s">
        <v>6</v>
      </c>
      <c r="D35" s="594"/>
      <c r="E35" s="594"/>
      <c r="F35" s="594"/>
      <c r="N35" s="42"/>
      <c r="O35" s="42"/>
      <c r="P35" s="42"/>
    </row>
    <row r="36" spans="1:20" ht="15" hidden="1" customHeight="1" x14ac:dyDescent="0.4">
      <c r="A36" s="70" t="s">
        <v>11</v>
      </c>
      <c r="B36" s="70"/>
      <c r="C36" s="594" t="s">
        <v>7</v>
      </c>
      <c r="D36" s="594"/>
      <c r="E36" s="594"/>
      <c r="F36" s="594"/>
      <c r="N36" s="42"/>
      <c r="O36" s="42"/>
      <c r="P36" s="42"/>
    </row>
    <row r="37" spans="1:20" ht="15" hidden="1" customHeight="1" x14ac:dyDescent="0.4">
      <c r="A37" s="70" t="s">
        <v>12</v>
      </c>
      <c r="B37" s="70"/>
      <c r="C37" s="594" t="s">
        <v>8</v>
      </c>
      <c r="D37" s="594"/>
      <c r="E37" s="594"/>
      <c r="F37" s="594"/>
      <c r="N37" s="42"/>
      <c r="O37" s="42"/>
      <c r="P37" s="42"/>
    </row>
    <row r="38" spans="1:20" ht="35.25" customHeight="1" x14ac:dyDescent="0.4"/>
    <row r="39" spans="1:20" x14ac:dyDescent="0.25">
      <c r="A39" s="595" t="s">
        <v>297</v>
      </c>
      <c r="B39" s="596"/>
      <c r="C39" s="596"/>
      <c r="D39" s="596"/>
      <c r="E39" s="596"/>
      <c r="F39" s="596"/>
      <c r="G39" s="596"/>
      <c r="H39" s="596"/>
      <c r="I39" s="596"/>
      <c r="J39" s="596"/>
      <c r="K39" s="596"/>
      <c r="L39" s="596"/>
      <c r="M39" s="596"/>
      <c r="N39" s="596"/>
      <c r="O39" s="596"/>
      <c r="P39" s="597"/>
      <c r="Q39" s="180"/>
      <c r="R39" s="180"/>
      <c r="S39" s="180"/>
      <c r="T39" s="30"/>
    </row>
    <row r="40" spans="1:20" ht="15" hidden="1" x14ac:dyDescent="0.25">
      <c r="A40" s="598" t="s">
        <v>387</v>
      </c>
      <c r="B40" s="599"/>
      <c r="C40" s="599"/>
      <c r="D40" s="599"/>
      <c r="E40" s="599"/>
      <c r="F40" s="599"/>
      <c r="G40" s="599"/>
      <c r="H40" s="599"/>
      <c r="I40" s="599"/>
      <c r="J40" s="599"/>
      <c r="K40" s="599"/>
      <c r="L40" s="599"/>
      <c r="M40" s="599"/>
      <c r="N40" s="599"/>
      <c r="O40" s="599"/>
      <c r="P40" s="600"/>
    </row>
    <row r="41" spans="1:20" ht="15" hidden="1" x14ac:dyDescent="0.25">
      <c r="A41" s="601"/>
      <c r="B41" s="602"/>
      <c r="C41" s="602"/>
      <c r="D41" s="602"/>
      <c r="E41" s="602"/>
      <c r="F41" s="602"/>
      <c r="G41" s="602"/>
      <c r="H41" s="602"/>
      <c r="I41" s="602"/>
      <c r="J41" s="602"/>
      <c r="K41" s="602"/>
      <c r="L41" s="602"/>
      <c r="M41" s="602"/>
      <c r="N41" s="602"/>
      <c r="O41" s="602"/>
      <c r="P41" s="603"/>
    </row>
    <row r="42" spans="1:20" ht="15" hidden="1" x14ac:dyDescent="0.25">
      <c r="A42" s="601"/>
      <c r="B42" s="602"/>
      <c r="C42" s="602"/>
      <c r="D42" s="602"/>
      <c r="E42" s="602"/>
      <c r="F42" s="602"/>
      <c r="G42" s="602"/>
      <c r="H42" s="602"/>
      <c r="I42" s="602"/>
      <c r="J42" s="602"/>
      <c r="K42" s="602"/>
      <c r="L42" s="602"/>
      <c r="M42" s="602"/>
      <c r="N42" s="602"/>
      <c r="O42" s="602"/>
      <c r="P42" s="603"/>
    </row>
    <row r="43" spans="1:20" ht="15" hidden="1" x14ac:dyDescent="0.25">
      <c r="A43" s="601"/>
      <c r="B43" s="602"/>
      <c r="C43" s="602"/>
      <c r="D43" s="602"/>
      <c r="E43" s="602"/>
      <c r="F43" s="602"/>
      <c r="G43" s="602"/>
      <c r="H43" s="602"/>
      <c r="I43" s="602"/>
      <c r="J43" s="602"/>
      <c r="K43" s="602"/>
      <c r="L43" s="602"/>
      <c r="M43" s="602"/>
      <c r="N43" s="602"/>
      <c r="O43" s="602"/>
      <c r="P43" s="603"/>
    </row>
    <row r="44" spans="1:20" ht="15" hidden="1" x14ac:dyDescent="0.25">
      <c r="A44" s="601"/>
      <c r="B44" s="602"/>
      <c r="C44" s="602"/>
      <c r="D44" s="602"/>
      <c r="E44" s="602"/>
      <c r="F44" s="602"/>
      <c r="G44" s="602"/>
      <c r="H44" s="602"/>
      <c r="I44" s="602"/>
      <c r="J44" s="602"/>
      <c r="K44" s="602"/>
      <c r="L44" s="602"/>
      <c r="M44" s="602"/>
      <c r="N44" s="602"/>
      <c r="O44" s="602"/>
      <c r="P44" s="603"/>
    </row>
    <row r="45" spans="1:20" ht="15" hidden="1" x14ac:dyDescent="0.25">
      <c r="A45" s="601"/>
      <c r="B45" s="602"/>
      <c r="C45" s="602"/>
      <c r="D45" s="602"/>
      <c r="E45" s="602"/>
      <c r="F45" s="602"/>
      <c r="G45" s="602"/>
      <c r="H45" s="602"/>
      <c r="I45" s="602"/>
      <c r="J45" s="602"/>
      <c r="K45" s="602"/>
      <c r="L45" s="602"/>
      <c r="M45" s="602"/>
      <c r="N45" s="602"/>
      <c r="O45" s="602"/>
      <c r="P45" s="603"/>
    </row>
    <row r="46" spans="1:20" ht="15" hidden="1" x14ac:dyDescent="0.25">
      <c r="A46" s="601"/>
      <c r="B46" s="602"/>
      <c r="C46" s="602"/>
      <c r="D46" s="602"/>
      <c r="E46" s="602"/>
      <c r="F46" s="602"/>
      <c r="G46" s="602"/>
      <c r="H46" s="602"/>
      <c r="I46" s="602"/>
      <c r="J46" s="602"/>
      <c r="K46" s="602"/>
      <c r="L46" s="602"/>
      <c r="M46" s="602"/>
      <c r="N46" s="602"/>
      <c r="O46" s="602"/>
      <c r="P46" s="603"/>
    </row>
    <row r="47" spans="1:20" ht="15" hidden="1" x14ac:dyDescent="0.25">
      <c r="A47" s="601"/>
      <c r="B47" s="602"/>
      <c r="C47" s="602"/>
      <c r="D47" s="602"/>
      <c r="E47" s="602"/>
      <c r="F47" s="602"/>
      <c r="G47" s="602"/>
      <c r="H47" s="602"/>
      <c r="I47" s="602"/>
      <c r="J47" s="602"/>
      <c r="K47" s="602"/>
      <c r="L47" s="602"/>
      <c r="M47" s="602"/>
      <c r="N47" s="602"/>
      <c r="O47" s="602"/>
      <c r="P47" s="603"/>
    </row>
    <row r="48" spans="1:20" ht="15" hidden="1" x14ac:dyDescent="0.25">
      <c r="A48" s="601"/>
      <c r="B48" s="602"/>
      <c r="C48" s="602"/>
      <c r="D48" s="602"/>
      <c r="E48" s="602"/>
      <c r="F48" s="602"/>
      <c r="G48" s="602"/>
      <c r="H48" s="602"/>
      <c r="I48" s="602"/>
      <c r="J48" s="602"/>
      <c r="K48" s="602"/>
      <c r="L48" s="602"/>
      <c r="M48" s="602"/>
      <c r="N48" s="602"/>
      <c r="O48" s="602"/>
      <c r="P48" s="603"/>
    </row>
    <row r="49" spans="1:16" ht="26.25" hidden="1" customHeight="1" x14ac:dyDescent="0.25">
      <c r="A49" s="601"/>
      <c r="B49" s="602"/>
      <c r="C49" s="602"/>
      <c r="D49" s="602"/>
      <c r="E49" s="602"/>
      <c r="F49" s="602"/>
      <c r="G49" s="602"/>
      <c r="H49" s="602"/>
      <c r="I49" s="602"/>
      <c r="J49" s="602"/>
      <c r="K49" s="602"/>
      <c r="L49" s="602"/>
      <c r="M49" s="602"/>
      <c r="N49" s="602"/>
      <c r="O49" s="602"/>
      <c r="P49" s="603"/>
    </row>
    <row r="50" spans="1:16" ht="26.25" hidden="1" customHeight="1" x14ac:dyDescent="0.25">
      <c r="A50" s="601"/>
      <c r="B50" s="602"/>
      <c r="C50" s="602"/>
      <c r="D50" s="602"/>
      <c r="E50" s="602"/>
      <c r="F50" s="602"/>
      <c r="G50" s="602"/>
      <c r="H50" s="602"/>
      <c r="I50" s="602"/>
      <c r="J50" s="602"/>
      <c r="K50" s="602"/>
      <c r="L50" s="602"/>
      <c r="M50" s="602"/>
      <c r="N50" s="602"/>
      <c r="O50" s="602"/>
      <c r="P50" s="603"/>
    </row>
    <row r="51" spans="1:16" ht="26.25" hidden="1" customHeight="1" x14ac:dyDescent="0.25">
      <c r="A51" s="601"/>
      <c r="B51" s="602"/>
      <c r="C51" s="602"/>
      <c r="D51" s="602"/>
      <c r="E51" s="602"/>
      <c r="F51" s="602"/>
      <c r="G51" s="602"/>
      <c r="H51" s="602"/>
      <c r="I51" s="602"/>
      <c r="J51" s="602"/>
      <c r="K51" s="602"/>
      <c r="L51" s="602"/>
      <c r="M51" s="602"/>
      <c r="N51" s="602"/>
      <c r="O51" s="602"/>
      <c r="P51" s="603"/>
    </row>
    <row r="52" spans="1:16" ht="26.25" hidden="1" customHeight="1" x14ac:dyDescent="0.25">
      <c r="A52" s="601"/>
      <c r="B52" s="602"/>
      <c r="C52" s="602"/>
      <c r="D52" s="602"/>
      <c r="E52" s="602"/>
      <c r="F52" s="602"/>
      <c r="G52" s="602"/>
      <c r="H52" s="602"/>
      <c r="I52" s="602"/>
      <c r="J52" s="602"/>
      <c r="K52" s="602"/>
      <c r="L52" s="602"/>
      <c r="M52" s="602"/>
      <c r="N52" s="602"/>
      <c r="O52" s="602"/>
      <c r="P52" s="603"/>
    </row>
    <row r="53" spans="1:16" ht="26.25" hidden="1" customHeight="1" x14ac:dyDescent="0.25">
      <c r="A53" s="601"/>
      <c r="B53" s="602"/>
      <c r="C53" s="602"/>
      <c r="D53" s="602"/>
      <c r="E53" s="602"/>
      <c r="F53" s="602"/>
      <c r="G53" s="602"/>
      <c r="H53" s="602"/>
      <c r="I53" s="602"/>
      <c r="J53" s="602"/>
      <c r="K53" s="602"/>
      <c r="L53" s="602"/>
      <c r="M53" s="602"/>
      <c r="N53" s="602"/>
      <c r="O53" s="602"/>
      <c r="P53" s="603"/>
    </row>
    <row r="54" spans="1:16" ht="26.25" hidden="1" customHeight="1" x14ac:dyDescent="0.25">
      <c r="A54" s="601"/>
      <c r="B54" s="602"/>
      <c r="C54" s="602"/>
      <c r="D54" s="602"/>
      <c r="E54" s="602"/>
      <c r="F54" s="602"/>
      <c r="G54" s="602"/>
      <c r="H54" s="602"/>
      <c r="I54" s="602"/>
      <c r="J54" s="602"/>
      <c r="K54" s="602"/>
      <c r="L54" s="602"/>
      <c r="M54" s="602"/>
      <c r="N54" s="602"/>
      <c r="O54" s="602"/>
      <c r="P54" s="603"/>
    </row>
    <row r="55" spans="1:16" ht="26.25" hidden="1" customHeight="1" x14ac:dyDescent="0.25">
      <c r="A55" s="601"/>
      <c r="B55" s="602"/>
      <c r="C55" s="602"/>
      <c r="D55" s="602"/>
      <c r="E55" s="602"/>
      <c r="F55" s="602"/>
      <c r="G55" s="602"/>
      <c r="H55" s="602"/>
      <c r="I55" s="602"/>
      <c r="J55" s="602"/>
      <c r="K55" s="602"/>
      <c r="L55" s="602"/>
      <c r="M55" s="602"/>
      <c r="N55" s="602"/>
      <c r="O55" s="602"/>
      <c r="P55" s="603"/>
    </row>
    <row r="56" spans="1:16" ht="26.25" hidden="1" customHeight="1" x14ac:dyDescent="0.25">
      <c r="A56" s="601"/>
      <c r="B56" s="602"/>
      <c r="C56" s="602"/>
      <c r="D56" s="602"/>
      <c r="E56" s="602"/>
      <c r="F56" s="602"/>
      <c r="G56" s="602"/>
      <c r="H56" s="602"/>
      <c r="I56" s="602"/>
      <c r="J56" s="602"/>
      <c r="K56" s="602"/>
      <c r="L56" s="602"/>
      <c r="M56" s="602"/>
      <c r="N56" s="602"/>
      <c r="O56" s="602"/>
      <c r="P56" s="603"/>
    </row>
    <row r="57" spans="1:16" ht="26.25" hidden="1" customHeight="1" x14ac:dyDescent="0.25">
      <c r="A57" s="601"/>
      <c r="B57" s="602"/>
      <c r="C57" s="602"/>
      <c r="D57" s="602"/>
      <c r="E57" s="602"/>
      <c r="F57" s="602"/>
      <c r="G57" s="602"/>
      <c r="H57" s="602"/>
      <c r="I57" s="602"/>
      <c r="J57" s="602"/>
      <c r="K57" s="602"/>
      <c r="L57" s="602"/>
      <c r="M57" s="602"/>
      <c r="N57" s="602"/>
      <c r="O57" s="602"/>
      <c r="P57" s="603"/>
    </row>
    <row r="58" spans="1:16" ht="26.25" hidden="1" customHeight="1" x14ac:dyDescent="0.25">
      <c r="A58" s="601"/>
      <c r="B58" s="602"/>
      <c r="C58" s="602"/>
      <c r="D58" s="602"/>
      <c r="E58" s="602"/>
      <c r="F58" s="602"/>
      <c r="G58" s="602"/>
      <c r="H58" s="602"/>
      <c r="I58" s="602"/>
      <c r="J58" s="602"/>
      <c r="K58" s="602"/>
      <c r="L58" s="602"/>
      <c r="M58" s="602"/>
      <c r="N58" s="602"/>
      <c r="O58" s="602"/>
      <c r="P58" s="603"/>
    </row>
    <row r="59" spans="1:16" ht="26.25" hidden="1" customHeight="1" x14ac:dyDescent="0.25">
      <c r="A59" s="601"/>
      <c r="B59" s="602"/>
      <c r="C59" s="602"/>
      <c r="D59" s="602"/>
      <c r="E59" s="602"/>
      <c r="F59" s="602"/>
      <c r="G59" s="602"/>
      <c r="H59" s="602"/>
      <c r="I59" s="602"/>
      <c r="J59" s="602"/>
      <c r="K59" s="602"/>
      <c r="L59" s="602"/>
      <c r="M59" s="602"/>
      <c r="N59" s="602"/>
      <c r="O59" s="602"/>
      <c r="P59" s="603"/>
    </row>
    <row r="60" spans="1:16" ht="26.25" customHeight="1" x14ac:dyDescent="0.25">
      <c r="A60" s="601"/>
      <c r="B60" s="602"/>
      <c r="C60" s="602"/>
      <c r="D60" s="602"/>
      <c r="E60" s="602"/>
      <c r="F60" s="602"/>
      <c r="G60" s="602"/>
      <c r="H60" s="602"/>
      <c r="I60" s="602"/>
      <c r="J60" s="602"/>
      <c r="K60" s="602"/>
      <c r="L60" s="602"/>
      <c r="M60" s="602"/>
      <c r="N60" s="602"/>
      <c r="O60" s="602"/>
      <c r="P60" s="603"/>
    </row>
    <row r="61" spans="1:16" ht="26.25" customHeight="1" x14ac:dyDescent="0.25">
      <c r="A61" s="601"/>
      <c r="B61" s="602"/>
      <c r="C61" s="602"/>
      <c r="D61" s="602"/>
      <c r="E61" s="602"/>
      <c r="F61" s="602"/>
      <c r="G61" s="602"/>
      <c r="H61" s="602"/>
      <c r="I61" s="602"/>
      <c r="J61" s="602"/>
      <c r="K61" s="602"/>
      <c r="L61" s="602"/>
      <c r="M61" s="602"/>
      <c r="N61" s="602"/>
      <c r="O61" s="602"/>
      <c r="P61" s="603"/>
    </row>
    <row r="62" spans="1:16" ht="26.25" customHeight="1" x14ac:dyDescent="0.25">
      <c r="A62" s="601"/>
      <c r="B62" s="602"/>
      <c r="C62" s="602"/>
      <c r="D62" s="602"/>
      <c r="E62" s="602"/>
      <c r="F62" s="602"/>
      <c r="G62" s="602"/>
      <c r="H62" s="602"/>
      <c r="I62" s="602"/>
      <c r="J62" s="602"/>
      <c r="K62" s="602"/>
      <c r="L62" s="602"/>
      <c r="M62" s="602"/>
      <c r="N62" s="602"/>
      <c r="O62" s="602"/>
      <c r="P62" s="603"/>
    </row>
    <row r="63" spans="1:16" ht="26.25" customHeight="1" x14ac:dyDescent="0.25">
      <c r="A63" s="601"/>
      <c r="B63" s="602"/>
      <c r="C63" s="602"/>
      <c r="D63" s="602"/>
      <c r="E63" s="602"/>
      <c r="F63" s="602"/>
      <c r="G63" s="602"/>
      <c r="H63" s="602"/>
      <c r="I63" s="602"/>
      <c r="J63" s="602"/>
      <c r="K63" s="602"/>
      <c r="L63" s="602"/>
      <c r="M63" s="602"/>
      <c r="N63" s="602"/>
      <c r="O63" s="602"/>
      <c r="P63" s="603"/>
    </row>
    <row r="64" spans="1:16" ht="26.25" customHeight="1" x14ac:dyDescent="0.25">
      <c r="A64" s="601"/>
      <c r="B64" s="602"/>
      <c r="C64" s="602"/>
      <c r="D64" s="602"/>
      <c r="E64" s="602"/>
      <c r="F64" s="602"/>
      <c r="G64" s="602"/>
      <c r="H64" s="602"/>
      <c r="I64" s="602"/>
      <c r="J64" s="602"/>
      <c r="K64" s="602"/>
      <c r="L64" s="602"/>
      <c r="M64" s="602"/>
      <c r="N64" s="602"/>
      <c r="O64" s="602"/>
      <c r="P64" s="603"/>
    </row>
    <row r="65" spans="1:16" ht="26.25" customHeight="1" x14ac:dyDescent="0.25">
      <c r="A65" s="601"/>
      <c r="B65" s="602"/>
      <c r="C65" s="602"/>
      <c r="D65" s="602"/>
      <c r="E65" s="602"/>
      <c r="F65" s="602"/>
      <c r="G65" s="602"/>
      <c r="H65" s="602"/>
      <c r="I65" s="602"/>
      <c r="J65" s="602"/>
      <c r="K65" s="602"/>
      <c r="L65" s="602"/>
      <c r="M65" s="602"/>
      <c r="N65" s="602"/>
      <c r="O65" s="602"/>
      <c r="P65" s="603"/>
    </row>
    <row r="66" spans="1:16" ht="26.25" customHeight="1" x14ac:dyDescent="0.25">
      <c r="A66" s="601"/>
      <c r="B66" s="602"/>
      <c r="C66" s="602"/>
      <c r="D66" s="602"/>
      <c r="E66" s="602"/>
      <c r="F66" s="602"/>
      <c r="G66" s="602"/>
      <c r="H66" s="602"/>
      <c r="I66" s="602"/>
      <c r="J66" s="602"/>
      <c r="K66" s="602"/>
      <c r="L66" s="602"/>
      <c r="M66" s="602"/>
      <c r="N66" s="602"/>
      <c r="O66" s="602"/>
      <c r="P66" s="603"/>
    </row>
    <row r="67" spans="1:16" ht="26.25" customHeight="1" x14ac:dyDescent="0.25">
      <c r="A67" s="601"/>
      <c r="B67" s="602"/>
      <c r="C67" s="602"/>
      <c r="D67" s="602"/>
      <c r="E67" s="602"/>
      <c r="F67" s="602"/>
      <c r="G67" s="602"/>
      <c r="H67" s="602"/>
      <c r="I67" s="602"/>
      <c r="J67" s="602"/>
      <c r="K67" s="602"/>
      <c r="L67" s="602"/>
      <c r="M67" s="602"/>
      <c r="N67" s="602"/>
      <c r="O67" s="602"/>
      <c r="P67" s="603"/>
    </row>
    <row r="68" spans="1:16" ht="26.25" customHeight="1" x14ac:dyDescent="0.25">
      <c r="A68" s="601"/>
      <c r="B68" s="602"/>
      <c r="C68" s="602"/>
      <c r="D68" s="602"/>
      <c r="E68" s="602"/>
      <c r="F68" s="602"/>
      <c r="G68" s="602"/>
      <c r="H68" s="602"/>
      <c r="I68" s="602"/>
      <c r="J68" s="602"/>
      <c r="K68" s="602"/>
      <c r="L68" s="602"/>
      <c r="M68" s="602"/>
      <c r="N68" s="602"/>
      <c r="O68" s="602"/>
      <c r="P68" s="603"/>
    </row>
    <row r="69" spans="1:16" ht="26.25" customHeight="1" x14ac:dyDescent="0.25">
      <c r="A69" s="601"/>
      <c r="B69" s="602"/>
      <c r="C69" s="602"/>
      <c r="D69" s="602"/>
      <c r="E69" s="602"/>
      <c r="F69" s="602"/>
      <c r="G69" s="602"/>
      <c r="H69" s="602"/>
      <c r="I69" s="602"/>
      <c r="J69" s="602"/>
      <c r="K69" s="602"/>
      <c r="L69" s="602"/>
      <c r="M69" s="602"/>
      <c r="N69" s="602"/>
      <c r="O69" s="602"/>
      <c r="P69" s="603"/>
    </row>
    <row r="70" spans="1:16" ht="26.25" customHeight="1" x14ac:dyDescent="0.25">
      <c r="A70" s="601"/>
      <c r="B70" s="602"/>
      <c r="C70" s="602"/>
      <c r="D70" s="602"/>
      <c r="E70" s="602"/>
      <c r="F70" s="602"/>
      <c r="G70" s="602"/>
      <c r="H70" s="602"/>
      <c r="I70" s="602"/>
      <c r="J70" s="602"/>
      <c r="K70" s="602"/>
      <c r="L70" s="602"/>
      <c r="M70" s="602"/>
      <c r="N70" s="602"/>
      <c r="O70" s="602"/>
      <c r="P70" s="603"/>
    </row>
    <row r="71" spans="1:16" ht="26.25" customHeight="1" x14ac:dyDescent="0.25">
      <c r="A71" s="601"/>
      <c r="B71" s="602"/>
      <c r="C71" s="602"/>
      <c r="D71" s="602"/>
      <c r="E71" s="602"/>
      <c r="F71" s="602"/>
      <c r="G71" s="602"/>
      <c r="H71" s="602"/>
      <c r="I71" s="602"/>
      <c r="J71" s="602"/>
      <c r="K71" s="602"/>
      <c r="L71" s="602"/>
      <c r="M71" s="602"/>
      <c r="N71" s="602"/>
      <c r="O71" s="602"/>
      <c r="P71" s="603"/>
    </row>
    <row r="72" spans="1:16" ht="26.25" customHeight="1" x14ac:dyDescent="0.25">
      <c r="A72" s="601"/>
      <c r="B72" s="602"/>
      <c r="C72" s="602"/>
      <c r="D72" s="602"/>
      <c r="E72" s="602"/>
      <c r="F72" s="602"/>
      <c r="G72" s="602"/>
      <c r="H72" s="602"/>
      <c r="I72" s="602"/>
      <c r="J72" s="602"/>
      <c r="K72" s="602"/>
      <c r="L72" s="602"/>
      <c r="M72" s="602"/>
      <c r="N72" s="602"/>
      <c r="O72" s="602"/>
      <c r="P72" s="603"/>
    </row>
    <row r="73" spans="1:16" ht="26.25" customHeight="1" x14ac:dyDescent="0.25">
      <c r="A73" s="601"/>
      <c r="B73" s="602"/>
      <c r="C73" s="602"/>
      <c r="D73" s="602"/>
      <c r="E73" s="602"/>
      <c r="F73" s="602"/>
      <c r="G73" s="602"/>
      <c r="H73" s="602"/>
      <c r="I73" s="602"/>
      <c r="J73" s="602"/>
      <c r="K73" s="602"/>
      <c r="L73" s="602"/>
      <c r="M73" s="602"/>
      <c r="N73" s="602"/>
      <c r="O73" s="602"/>
      <c r="P73" s="603"/>
    </row>
    <row r="74" spans="1:16" ht="26.25" customHeight="1" x14ac:dyDescent="0.25">
      <c r="A74" s="601"/>
      <c r="B74" s="602"/>
      <c r="C74" s="602"/>
      <c r="D74" s="602"/>
      <c r="E74" s="602"/>
      <c r="F74" s="602"/>
      <c r="G74" s="602"/>
      <c r="H74" s="602"/>
      <c r="I74" s="602"/>
      <c r="J74" s="602"/>
      <c r="K74" s="602"/>
      <c r="L74" s="602"/>
      <c r="M74" s="602"/>
      <c r="N74" s="602"/>
      <c r="O74" s="602"/>
      <c r="P74" s="603"/>
    </row>
    <row r="75" spans="1:16" ht="1.5" customHeight="1" x14ac:dyDescent="0.25">
      <c r="A75" s="601"/>
      <c r="B75" s="602"/>
      <c r="C75" s="602"/>
      <c r="D75" s="602"/>
      <c r="E75" s="602"/>
      <c r="F75" s="602"/>
      <c r="G75" s="602"/>
      <c r="H75" s="602"/>
      <c r="I75" s="602"/>
      <c r="J75" s="602"/>
      <c r="K75" s="602"/>
      <c r="L75" s="602"/>
      <c r="M75" s="602"/>
      <c r="N75" s="602"/>
      <c r="O75" s="602"/>
      <c r="P75" s="603"/>
    </row>
    <row r="76" spans="1:16" ht="26.25" hidden="1" customHeight="1" x14ac:dyDescent="0.25">
      <c r="A76" s="601"/>
      <c r="B76" s="602"/>
      <c r="C76" s="602"/>
      <c r="D76" s="602"/>
      <c r="E76" s="602"/>
      <c r="F76" s="602"/>
      <c r="G76" s="602"/>
      <c r="H76" s="602"/>
      <c r="I76" s="602"/>
      <c r="J76" s="602"/>
      <c r="K76" s="602"/>
      <c r="L76" s="602"/>
      <c r="M76" s="602"/>
      <c r="N76" s="602"/>
      <c r="O76" s="602"/>
      <c r="P76" s="603"/>
    </row>
    <row r="77" spans="1:16" ht="26.25" hidden="1" customHeight="1" x14ac:dyDescent="0.25">
      <c r="A77" s="601"/>
      <c r="B77" s="602"/>
      <c r="C77" s="602"/>
      <c r="D77" s="602"/>
      <c r="E77" s="602"/>
      <c r="F77" s="602"/>
      <c r="G77" s="602"/>
      <c r="H77" s="602"/>
      <c r="I77" s="602"/>
      <c r="J77" s="602"/>
      <c r="K77" s="602"/>
      <c r="L77" s="602"/>
      <c r="M77" s="602"/>
      <c r="N77" s="602"/>
      <c r="O77" s="602"/>
      <c r="P77" s="603"/>
    </row>
    <row r="78" spans="1:16" ht="26.25" hidden="1" customHeight="1" x14ac:dyDescent="0.25">
      <c r="A78" s="601"/>
      <c r="B78" s="602"/>
      <c r="C78" s="602"/>
      <c r="D78" s="602"/>
      <c r="E78" s="602"/>
      <c r="F78" s="602"/>
      <c r="G78" s="602"/>
      <c r="H78" s="602"/>
      <c r="I78" s="602"/>
      <c r="J78" s="602"/>
      <c r="K78" s="602"/>
      <c r="L78" s="602"/>
      <c r="M78" s="602"/>
      <c r="N78" s="602"/>
      <c r="O78" s="602"/>
      <c r="P78" s="603"/>
    </row>
    <row r="79" spans="1:16" ht="26.25" hidden="1" customHeight="1" x14ac:dyDescent="0.25">
      <c r="A79" s="601"/>
      <c r="B79" s="602"/>
      <c r="C79" s="602"/>
      <c r="D79" s="602"/>
      <c r="E79" s="602"/>
      <c r="F79" s="602"/>
      <c r="G79" s="602"/>
      <c r="H79" s="602"/>
      <c r="I79" s="602"/>
      <c r="J79" s="602"/>
      <c r="K79" s="602"/>
      <c r="L79" s="602"/>
      <c r="M79" s="602"/>
      <c r="N79" s="602"/>
      <c r="O79" s="602"/>
      <c r="P79" s="603"/>
    </row>
    <row r="80" spans="1:16" ht="26.25" hidden="1" customHeight="1" x14ac:dyDescent="0.25">
      <c r="A80" s="601"/>
      <c r="B80" s="602"/>
      <c r="C80" s="602"/>
      <c r="D80" s="602"/>
      <c r="E80" s="602"/>
      <c r="F80" s="602"/>
      <c r="G80" s="602"/>
      <c r="H80" s="602"/>
      <c r="I80" s="602"/>
      <c r="J80" s="602"/>
      <c r="K80" s="602"/>
      <c r="L80" s="602"/>
      <c r="M80" s="602"/>
      <c r="N80" s="602"/>
      <c r="O80" s="602"/>
      <c r="P80" s="603"/>
    </row>
    <row r="81" spans="1:16" ht="26.25" hidden="1" customHeight="1" x14ac:dyDescent="0.25">
      <c r="A81" s="601"/>
      <c r="B81" s="602"/>
      <c r="C81" s="602"/>
      <c r="D81" s="602"/>
      <c r="E81" s="602"/>
      <c r="F81" s="602"/>
      <c r="G81" s="602"/>
      <c r="H81" s="602"/>
      <c r="I81" s="602"/>
      <c r="J81" s="602"/>
      <c r="K81" s="602"/>
      <c r="L81" s="602"/>
      <c r="M81" s="602"/>
      <c r="N81" s="602"/>
      <c r="O81" s="602"/>
      <c r="P81" s="603"/>
    </row>
    <row r="82" spans="1:16" ht="26.25" hidden="1" customHeight="1" x14ac:dyDescent="0.25">
      <c r="A82" s="601"/>
      <c r="B82" s="602"/>
      <c r="C82" s="602"/>
      <c r="D82" s="602"/>
      <c r="E82" s="602"/>
      <c r="F82" s="602"/>
      <c r="G82" s="602"/>
      <c r="H82" s="602"/>
      <c r="I82" s="602"/>
      <c r="J82" s="602"/>
      <c r="K82" s="602"/>
      <c r="L82" s="602"/>
      <c r="M82" s="602"/>
      <c r="N82" s="602"/>
      <c r="O82" s="602"/>
      <c r="P82" s="603"/>
    </row>
    <row r="83" spans="1:16" ht="26.25" hidden="1" customHeight="1" x14ac:dyDescent="0.25">
      <c r="A83" s="601"/>
      <c r="B83" s="602"/>
      <c r="C83" s="602"/>
      <c r="D83" s="602"/>
      <c r="E83" s="602"/>
      <c r="F83" s="602"/>
      <c r="G83" s="602"/>
      <c r="H83" s="602"/>
      <c r="I83" s="602"/>
      <c r="J83" s="602"/>
      <c r="K83" s="602"/>
      <c r="L83" s="602"/>
      <c r="M83" s="602"/>
      <c r="N83" s="602"/>
      <c r="O83" s="602"/>
      <c r="P83" s="603"/>
    </row>
    <row r="84" spans="1:16" ht="26.25" hidden="1" customHeight="1" x14ac:dyDescent="0.25">
      <c r="A84" s="601"/>
      <c r="B84" s="602"/>
      <c r="C84" s="602"/>
      <c r="D84" s="602"/>
      <c r="E84" s="602"/>
      <c r="F84" s="602"/>
      <c r="G84" s="602"/>
      <c r="H84" s="602"/>
      <c r="I84" s="602"/>
      <c r="J84" s="602"/>
      <c r="K84" s="602"/>
      <c r="L84" s="602"/>
      <c r="M84" s="602"/>
      <c r="N84" s="602"/>
      <c r="O84" s="602"/>
      <c r="P84" s="603"/>
    </row>
    <row r="85" spans="1:16" ht="26.25" hidden="1" customHeight="1" x14ac:dyDescent="0.25">
      <c r="A85" s="601"/>
      <c r="B85" s="602"/>
      <c r="C85" s="602"/>
      <c r="D85" s="602"/>
      <c r="E85" s="602"/>
      <c r="F85" s="602"/>
      <c r="G85" s="602"/>
      <c r="H85" s="602"/>
      <c r="I85" s="602"/>
      <c r="J85" s="602"/>
      <c r="K85" s="602"/>
      <c r="L85" s="602"/>
      <c r="M85" s="602"/>
      <c r="N85" s="602"/>
      <c r="O85" s="602"/>
      <c r="P85" s="603"/>
    </row>
    <row r="86" spans="1:16" ht="26.25" hidden="1" customHeight="1" x14ac:dyDescent="0.25">
      <c r="A86" s="601"/>
      <c r="B86" s="602"/>
      <c r="C86" s="602"/>
      <c r="D86" s="602"/>
      <c r="E86" s="602"/>
      <c r="F86" s="602"/>
      <c r="G86" s="602"/>
      <c r="H86" s="602"/>
      <c r="I86" s="602"/>
      <c r="J86" s="602"/>
      <c r="K86" s="602"/>
      <c r="L86" s="602"/>
      <c r="M86" s="602"/>
      <c r="N86" s="602"/>
      <c r="O86" s="602"/>
      <c r="P86" s="603"/>
    </row>
    <row r="87" spans="1:16" ht="26.25" hidden="1" customHeight="1" x14ac:dyDescent="0.25">
      <c r="A87" s="601"/>
      <c r="B87" s="602"/>
      <c r="C87" s="602"/>
      <c r="D87" s="602"/>
      <c r="E87" s="602"/>
      <c r="F87" s="602"/>
      <c r="G87" s="602"/>
      <c r="H87" s="602"/>
      <c r="I87" s="602"/>
      <c r="J87" s="602"/>
      <c r="K87" s="602"/>
      <c r="L87" s="602"/>
      <c r="M87" s="602"/>
      <c r="N87" s="602"/>
      <c r="O87" s="602"/>
      <c r="P87" s="603"/>
    </row>
    <row r="88" spans="1:16" ht="374.25" customHeight="1" thickBot="1" x14ac:dyDescent="0.3">
      <c r="A88" s="604"/>
      <c r="B88" s="605"/>
      <c r="C88" s="605"/>
      <c r="D88" s="605"/>
      <c r="E88" s="605"/>
      <c r="F88" s="605"/>
      <c r="G88" s="605"/>
      <c r="H88" s="605"/>
      <c r="I88" s="605"/>
      <c r="J88" s="605"/>
      <c r="K88" s="605"/>
      <c r="L88" s="605"/>
      <c r="M88" s="605"/>
      <c r="N88" s="605"/>
      <c r="O88" s="605"/>
      <c r="P88" s="606"/>
    </row>
  </sheetData>
  <sheetProtection formatCells="0" formatRows="0" insertRows="0" deleteRows="0"/>
  <mergeCells count="45">
    <mergeCell ref="A6:P6"/>
    <mergeCell ref="A7:P7"/>
    <mergeCell ref="A8:F8"/>
    <mergeCell ref="G8:P8"/>
    <mergeCell ref="A9:F9"/>
    <mergeCell ref="G9:P9"/>
    <mergeCell ref="A19:B19"/>
    <mergeCell ref="P11:P13"/>
    <mergeCell ref="C12:E12"/>
    <mergeCell ref="F12:F13"/>
    <mergeCell ref="G12:G13"/>
    <mergeCell ref="H12:J12"/>
    <mergeCell ref="K12:K13"/>
    <mergeCell ref="L12:L13"/>
    <mergeCell ref="N12:N13"/>
    <mergeCell ref="O12:O13"/>
    <mergeCell ref="A11:B13"/>
    <mergeCell ref="C11:F11"/>
    <mergeCell ref="G11:J11"/>
    <mergeCell ref="K11:L11"/>
    <mergeCell ref="M11:M13"/>
    <mergeCell ref="N11:O11"/>
    <mergeCell ref="Q14:W14"/>
    <mergeCell ref="A15:B15"/>
    <mergeCell ref="A16:B16"/>
    <mergeCell ref="A17:B17"/>
    <mergeCell ref="A18:B18"/>
    <mergeCell ref="A20:B20"/>
    <mergeCell ref="A25:B25"/>
    <mergeCell ref="A26:B26"/>
    <mergeCell ref="A27:B27"/>
    <mergeCell ref="A28:F28"/>
    <mergeCell ref="C37:F37"/>
    <mergeCell ref="A39:P39"/>
    <mergeCell ref="A40:P88"/>
    <mergeCell ref="A21:B21"/>
    <mergeCell ref="A22:B22"/>
    <mergeCell ref="A23:B23"/>
    <mergeCell ref="A24:B24"/>
    <mergeCell ref="A31:P31"/>
    <mergeCell ref="A32:P32"/>
    <mergeCell ref="A33:F33"/>
    <mergeCell ref="C34:F34"/>
    <mergeCell ref="C35:F35"/>
    <mergeCell ref="C36:F36"/>
  </mergeCells>
  <dataValidations count="2">
    <dataValidation type="list" allowBlank="1" showInputMessage="1" showErrorMessage="1" sqref="M15:M27">
      <formula1>$BA$13:$BA$16</formula1>
    </dataValidation>
    <dataValidation type="list" allowBlank="1" showInputMessage="1" showErrorMessage="1" sqref="BA13:BA15">
      <formula1>$BA$13:$BA$15</formula1>
    </dataValidation>
  </dataValidations>
  <pageMargins left="0.511811024" right="0.511811024" top="0.78740157499999996" bottom="0.78740157499999996" header="0.31496062000000002" footer="0.31496062000000002"/>
  <pageSetup paperSize="9" scale="62"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'AÇÕES ESTRATÉGICAS - DESCRIÇÃO '!$C$2:$C$22</xm:f>
          </x14:formula1>
          <xm:sqref>E26:E27</xm:sqref>
        </x14:dataValidation>
        <x14:dataValidation type="list" allowBlank="1" showInputMessage="1" showErrorMessage="1">
          <x14:formula1>
            <xm:f>[3]Resumo!#REF!</xm:f>
          </x14:formula1>
          <xm:sqref>E15:E25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37</vt:i4>
      </vt:variant>
      <vt:variant>
        <vt:lpstr>Intervalos nomeados</vt:lpstr>
      </vt:variant>
      <vt:variant>
        <vt:i4>6</vt:i4>
      </vt:variant>
    </vt:vector>
  </HeadingPairs>
  <TitlesOfParts>
    <vt:vector size="43" baseType="lpstr">
      <vt:lpstr>Orientações Iniciais</vt:lpstr>
      <vt:lpstr>Mapa Estratégico e ODS</vt:lpstr>
      <vt:lpstr>Indicadores e Metas</vt:lpstr>
      <vt:lpstr>Quadro Geral</vt:lpstr>
      <vt:lpstr>Anexo 1. Usos e Fontes</vt:lpstr>
      <vt:lpstr>Anexo 2. Limites Estratégicos</vt:lpstr>
      <vt:lpstr>Anexo 3. Elemento de Despesas</vt:lpstr>
      <vt:lpstr>Anexo 4.-Presidência</vt:lpstr>
      <vt:lpstr>Anexo 4. Direção Geral</vt:lpstr>
      <vt:lpstr>Anexo 4. GETEC</vt:lpstr>
      <vt:lpstr>Anexo 4.GEOP</vt:lpstr>
      <vt:lpstr>Anexo 4.Gerência ADM FIN</vt:lpstr>
      <vt:lpstr>Anexo 4.ASSEJUR</vt:lpstr>
      <vt:lpstr>Anexo 4.Com. Ética</vt:lpstr>
      <vt:lpstr>Anexo 4.Com. Atos</vt:lpstr>
      <vt:lpstr>Anexo 4. Com Exercício</vt:lpstr>
      <vt:lpstr>Anexo 4.Com. Planejamento</vt:lpstr>
      <vt:lpstr>Anexo 4.Com. Ensino</vt:lpstr>
      <vt:lpstr>Anexo 4.Com. P. Profissional</vt:lpstr>
      <vt:lpstr>Anexo 4.Com. P. Urbanas</vt:lpstr>
      <vt:lpstr>Anexo 4.Plenária</vt:lpstr>
      <vt:lpstr>Anexo 4.Dia do Arquiteto</vt:lpstr>
      <vt:lpstr>Anexo 4.Fundo de Apoio</vt:lpstr>
      <vt:lpstr>Anexo 4.Comunicação</vt:lpstr>
      <vt:lpstr>Anexo 4.G. Atendimento</vt:lpstr>
      <vt:lpstr>Anexo 4. G. Fiscalização</vt:lpstr>
      <vt:lpstr>Anexo 4.CSC Fiscalização</vt:lpstr>
      <vt:lpstr>Anexo 4.CSC Atendimento</vt:lpstr>
      <vt:lpstr>Anexo 4.Reserva Cont.</vt:lpstr>
      <vt:lpstr>Anexo 4.Patrocínio</vt:lpstr>
      <vt:lpstr>Anexo 4.APC</vt:lpstr>
      <vt:lpstr>Anexo 4.Capacitação</vt:lpstr>
      <vt:lpstr>Anexo 4.Assist. Técnica </vt:lpstr>
      <vt:lpstr>Resumo</vt:lpstr>
      <vt:lpstr>AÇÕES ESTRATÉGICAS - DESCRIÇÃO </vt:lpstr>
      <vt:lpstr>Planilha1</vt:lpstr>
      <vt:lpstr>Plan1</vt:lpstr>
      <vt:lpstr>'Anexo 1. Usos e Fontes'!Area_de_impressao</vt:lpstr>
      <vt:lpstr>'Anexo 2. Limites Estratégicos'!Area_de_impressao</vt:lpstr>
      <vt:lpstr>'Anexo 3. Elemento de Despesas'!Area_de_impressao</vt:lpstr>
      <vt:lpstr>'Indicadores e Metas'!Area_de_impressao</vt:lpstr>
      <vt:lpstr>'Mapa Estratégico e ODS'!Area_de_impressao</vt:lpstr>
      <vt:lpstr>'Quadro Geral'!Area_de_impressao</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Flavia Rios Costa</dc:creator>
  <cp:lastModifiedBy>Ralfe Vinhas</cp:lastModifiedBy>
  <cp:lastPrinted>2020-09-04T17:09:18Z</cp:lastPrinted>
  <dcterms:created xsi:type="dcterms:W3CDTF">2013-07-30T15:20:59Z</dcterms:created>
  <dcterms:modified xsi:type="dcterms:W3CDTF">2020-09-04T17:09:43Z</dcterms:modified>
</cp:coreProperties>
</file>